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vmware-host\Shared Folders\Documents\00Jobs\Corporate Training\Active Clients\JPro\Specific Classes\2024_01 Excel Cornerstones\Training Materials\Blank Files\"/>
    </mc:Choice>
  </mc:AlternateContent>
  <xr:revisionPtr revIDLastSave="0" documentId="13_ncr:1_{CE2D7ADB-C2EB-42AC-AECE-1A8D8E18441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Overview" sheetId="5" r:id="rId1"/>
    <sheet name="A0) Formula Elements Intro" sheetId="50" r:id="rId2"/>
    <sheet name="A1) Formula Elements" sheetId="51" r:id="rId3"/>
    <sheet name="A2) Syntax" sheetId="52" r:id="rId4"/>
    <sheet name="B3) Placeholders" sheetId="53" r:id="rId5"/>
    <sheet name="B4) Helper Columns" sheetId="54" r:id="rId6"/>
    <sheet name="B5) Help" sheetId="55" r:id="rId7"/>
    <sheet name="BONUS) Complex Formulas" sheetId="56" r:id="rId8"/>
    <sheet name="Lookup Values" sheetId="36" state="hidden" r:id="rId9"/>
  </sheets>
  <definedNames>
    <definedName name="Rng_Lkp_AnswerStatus_Bad">'Lookup Values'!$A$3</definedName>
    <definedName name="Rng_Lkp_AnswerStatus_Good">'Lookup Values'!$A$2</definedName>
    <definedName name="Rng_Lkp_FormulaElement">Tbl_Lkp_FormulaElement[Formula Element]</definedName>
    <definedName name="Rng_Lkp_YN">Tbl_Lkp_YN[YesNo]</definedName>
  </definedNames>
  <calcPr calcId="191029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56" l="1"/>
  <c r="R9" i="56"/>
  <c r="R10" i="56"/>
  <c r="R11" i="56"/>
  <c r="R12" i="56"/>
  <c r="R13" i="56"/>
  <c r="R14" i="56"/>
  <c r="R15" i="56"/>
  <c r="R16" i="56"/>
  <c r="R17" i="56"/>
  <c r="O8" i="56"/>
  <c r="O9" i="56"/>
  <c r="O10" i="56"/>
  <c r="O11" i="56"/>
  <c r="O12" i="56"/>
  <c r="O13" i="56"/>
  <c r="O14" i="56"/>
  <c r="O15" i="56"/>
  <c r="O16" i="56"/>
  <c r="O17" i="56"/>
  <c r="L8" i="56"/>
  <c r="L9" i="56"/>
  <c r="L10" i="56"/>
  <c r="L11" i="56"/>
  <c r="L12" i="56"/>
  <c r="L13" i="56"/>
  <c r="L14" i="56"/>
  <c r="L15" i="56"/>
  <c r="L16" i="56"/>
  <c r="L17" i="56"/>
  <c r="I8" i="56"/>
  <c r="I9" i="56"/>
  <c r="I10" i="56"/>
  <c r="I11" i="56"/>
  <c r="I12" i="56"/>
  <c r="I13" i="56"/>
  <c r="I14" i="56"/>
  <c r="I15" i="56"/>
  <c r="I16" i="56"/>
  <c r="I17" i="56"/>
  <c r="U17" i="56"/>
  <c r="U16" i="56"/>
  <c r="U15" i="56"/>
  <c r="U14" i="56"/>
  <c r="U13" i="56"/>
  <c r="U12" i="56"/>
  <c r="U11" i="56"/>
  <c r="U10" i="56"/>
  <c r="U9" i="56"/>
  <c r="U8" i="56"/>
  <c r="T17" i="56"/>
  <c r="Q17" i="56"/>
  <c r="N17" i="56"/>
  <c r="K17" i="56"/>
  <c r="H17" i="56"/>
  <c r="T16" i="56"/>
  <c r="Q16" i="56"/>
  <c r="N16" i="56"/>
  <c r="K16" i="56"/>
  <c r="H16" i="56"/>
  <c r="T15" i="56"/>
  <c r="Q15" i="56"/>
  <c r="N15" i="56"/>
  <c r="K15" i="56"/>
  <c r="H15" i="56"/>
  <c r="T14" i="56"/>
  <c r="Q14" i="56"/>
  <c r="N14" i="56"/>
  <c r="K14" i="56"/>
  <c r="H14" i="56"/>
  <c r="T13" i="56"/>
  <c r="Q13" i="56"/>
  <c r="N13" i="56"/>
  <c r="K13" i="56"/>
  <c r="H13" i="56"/>
  <c r="T12" i="56"/>
  <c r="Q12" i="56"/>
  <c r="N12" i="56"/>
  <c r="K12" i="56"/>
  <c r="H12" i="56"/>
  <c r="T11" i="56"/>
  <c r="Q11" i="56"/>
  <c r="N11" i="56"/>
  <c r="K11" i="56"/>
  <c r="H11" i="56"/>
  <c r="T10" i="56"/>
  <c r="Q10" i="56"/>
  <c r="N10" i="56"/>
  <c r="K10" i="56"/>
  <c r="H10" i="56"/>
  <c r="T9" i="56"/>
  <c r="Q9" i="56"/>
  <c r="N9" i="56"/>
  <c r="K9" i="56"/>
  <c r="H9" i="56"/>
  <c r="T8" i="56"/>
  <c r="Q8" i="56"/>
  <c r="N8" i="56"/>
  <c r="K8" i="56"/>
  <c r="H8" i="56"/>
  <c r="U5" i="56"/>
  <c r="T5" i="56"/>
  <c r="S5" i="56"/>
  <c r="R5" i="56"/>
  <c r="Q5" i="56"/>
  <c r="P5" i="56"/>
  <c r="O5" i="56"/>
  <c r="N5" i="56"/>
  <c r="M5" i="56"/>
  <c r="L5" i="56"/>
  <c r="K5" i="56"/>
  <c r="J5" i="56"/>
  <c r="I5" i="56"/>
  <c r="H5" i="56"/>
  <c r="G5" i="56"/>
  <c r="Z8" i="55"/>
  <c r="T8" i="55"/>
  <c r="Q8" i="55"/>
  <c r="N8" i="55"/>
  <c r="K8" i="55"/>
  <c r="H8" i="55"/>
  <c r="Z9" i="55"/>
  <c r="Z10" i="55"/>
  <c r="Z11" i="55"/>
  <c r="Z12" i="55"/>
  <c r="Z13" i="55"/>
  <c r="Z14" i="55"/>
  <c r="Z15" i="55"/>
  <c r="Z16" i="55"/>
  <c r="Z17" i="55"/>
  <c r="T9" i="55"/>
  <c r="T10" i="55"/>
  <c r="T11" i="55"/>
  <c r="T12" i="55"/>
  <c r="T13" i="55"/>
  <c r="T14" i="55"/>
  <c r="T15" i="55"/>
  <c r="T16" i="55"/>
  <c r="T17" i="55"/>
  <c r="Q9" i="55"/>
  <c r="Q10" i="55"/>
  <c r="Q11" i="55"/>
  <c r="Q12" i="55"/>
  <c r="Q13" i="55"/>
  <c r="Q14" i="55"/>
  <c r="Q15" i="55"/>
  <c r="Q16" i="55"/>
  <c r="Q17" i="55"/>
  <c r="N9" i="55"/>
  <c r="N10" i="55"/>
  <c r="N11" i="55"/>
  <c r="N12" i="55"/>
  <c r="N13" i="55"/>
  <c r="N14" i="55"/>
  <c r="N15" i="55"/>
  <c r="N16" i="55"/>
  <c r="N17" i="55"/>
  <c r="K9" i="55"/>
  <c r="K10" i="55"/>
  <c r="K11" i="55"/>
  <c r="K12" i="55"/>
  <c r="K13" i="55"/>
  <c r="K14" i="55"/>
  <c r="K15" i="55"/>
  <c r="K16" i="55"/>
  <c r="K17" i="55"/>
  <c r="H9" i="55"/>
  <c r="H10" i="55"/>
  <c r="H11" i="55"/>
  <c r="H12" i="55"/>
  <c r="H13" i="55"/>
  <c r="H14" i="55"/>
  <c r="H15" i="55"/>
  <c r="H16" i="55"/>
  <c r="H17" i="55"/>
  <c r="M8" i="54"/>
  <c r="J8" i="54"/>
  <c r="G8" i="54"/>
  <c r="M9" i="54"/>
  <c r="M10" i="54"/>
  <c r="M11" i="54"/>
  <c r="M12" i="54"/>
  <c r="M13" i="54"/>
  <c r="M14" i="54"/>
  <c r="M15" i="54"/>
  <c r="M16" i="54"/>
  <c r="M17" i="54"/>
  <c r="J9" i="54"/>
  <c r="J10" i="54"/>
  <c r="J11" i="54"/>
  <c r="J12" i="54"/>
  <c r="J13" i="54"/>
  <c r="J14" i="54"/>
  <c r="J15" i="54"/>
  <c r="J16" i="54"/>
  <c r="J17" i="54"/>
  <c r="G9" i="54"/>
  <c r="G10" i="54"/>
  <c r="G11" i="54"/>
  <c r="G12" i="54"/>
  <c r="G13" i="54"/>
  <c r="G14" i="54"/>
  <c r="G15" i="54"/>
  <c r="G16" i="54"/>
  <c r="G17" i="54"/>
  <c r="J8" i="53"/>
  <c r="J9" i="53"/>
  <c r="J10" i="53"/>
  <c r="J11" i="53"/>
  <c r="J12" i="53"/>
  <c r="J13" i="53"/>
  <c r="J14" i="53"/>
  <c r="J15" i="53"/>
  <c r="J16" i="53"/>
  <c r="J17" i="53"/>
  <c r="G8" i="53"/>
  <c r="G9" i="53"/>
  <c r="G10" i="53"/>
  <c r="G11" i="53"/>
  <c r="G12" i="53"/>
  <c r="G13" i="53"/>
  <c r="G14" i="53"/>
  <c r="G15" i="53"/>
  <c r="G16" i="53"/>
  <c r="G17" i="53"/>
  <c r="H8" i="52"/>
  <c r="W8" i="52"/>
  <c r="W9" i="52"/>
  <c r="W10" i="52"/>
  <c r="W11" i="52"/>
  <c r="W12" i="52"/>
  <c r="W13" i="52"/>
  <c r="W14" i="52"/>
  <c r="W15" i="52"/>
  <c r="W16" i="52"/>
  <c r="W17" i="52"/>
  <c r="T8" i="52"/>
  <c r="T9" i="52"/>
  <c r="T10" i="52"/>
  <c r="T11" i="52"/>
  <c r="T12" i="52"/>
  <c r="T13" i="52"/>
  <c r="T14" i="52"/>
  <c r="T15" i="52"/>
  <c r="T16" i="52"/>
  <c r="T17" i="52"/>
  <c r="Q8" i="52"/>
  <c r="Q9" i="52"/>
  <c r="Q10" i="52"/>
  <c r="Q11" i="52"/>
  <c r="Q12" i="52"/>
  <c r="Q13" i="52"/>
  <c r="Q14" i="52"/>
  <c r="Q15" i="52"/>
  <c r="Q16" i="52"/>
  <c r="Q17" i="52"/>
  <c r="N8" i="52"/>
  <c r="N9" i="52"/>
  <c r="N10" i="52"/>
  <c r="N11" i="52"/>
  <c r="N12" i="52"/>
  <c r="N13" i="52"/>
  <c r="N14" i="52"/>
  <c r="N15" i="52"/>
  <c r="N16" i="52"/>
  <c r="N17" i="52"/>
  <c r="K17" i="52"/>
  <c r="K16" i="52"/>
  <c r="K15" i="52"/>
  <c r="K14" i="52"/>
  <c r="K13" i="52"/>
  <c r="K12" i="52"/>
  <c r="K11" i="52"/>
  <c r="K10" i="52"/>
  <c r="K9" i="52"/>
  <c r="K8" i="52"/>
  <c r="H9" i="52"/>
  <c r="H10" i="52"/>
  <c r="H11" i="52"/>
  <c r="H12" i="52"/>
  <c r="H13" i="52"/>
  <c r="H14" i="52"/>
  <c r="H15" i="52"/>
  <c r="H16" i="52"/>
  <c r="H17" i="52"/>
  <c r="Y17" i="55"/>
  <c r="S17" i="55"/>
  <c r="P17" i="55"/>
  <c r="M17" i="55"/>
  <c r="J17" i="55"/>
  <c r="G17" i="55"/>
  <c r="P16" i="55"/>
  <c r="Y16" i="55"/>
  <c r="M16" i="55"/>
  <c r="J16" i="55"/>
  <c r="G16" i="55"/>
  <c r="S16" i="55"/>
  <c r="P15" i="55"/>
  <c r="Y15" i="55"/>
  <c r="M15" i="55"/>
  <c r="J15" i="55"/>
  <c r="G15" i="55"/>
  <c r="S15" i="55"/>
  <c r="P14" i="55"/>
  <c r="Y14" i="55"/>
  <c r="M14" i="55"/>
  <c r="J14" i="55"/>
  <c r="G14" i="55"/>
  <c r="S14" i="55"/>
  <c r="P13" i="55"/>
  <c r="Y13" i="55"/>
  <c r="M13" i="55"/>
  <c r="J13" i="55"/>
  <c r="G13" i="55"/>
  <c r="S13" i="55"/>
  <c r="P12" i="55"/>
  <c r="Y12" i="55"/>
  <c r="M12" i="55"/>
  <c r="J12" i="55"/>
  <c r="G12" i="55"/>
  <c r="S12" i="55"/>
  <c r="P11" i="55"/>
  <c r="Y11" i="55"/>
  <c r="M11" i="55"/>
  <c r="J11" i="55"/>
  <c r="G11" i="55"/>
  <c r="S11" i="55"/>
  <c r="P10" i="55"/>
  <c r="Y10" i="55"/>
  <c r="M10" i="55"/>
  <c r="J10" i="55"/>
  <c r="G10" i="55"/>
  <c r="S10" i="55"/>
  <c r="P9" i="55"/>
  <c r="Y9" i="55"/>
  <c r="M9" i="55"/>
  <c r="J9" i="55"/>
  <c r="G9" i="55"/>
  <c r="S9" i="55"/>
  <c r="P8" i="55"/>
  <c r="P5" i="55"/>
  <c r="M8" i="55"/>
  <c r="J8" i="55"/>
  <c r="G8" i="55"/>
  <c r="Z5" i="55"/>
  <c r="T5" i="55"/>
  <c r="Q5" i="55"/>
  <c r="O5" i="55"/>
  <c r="N5" i="55"/>
  <c r="L5" i="55"/>
  <c r="K5" i="55"/>
  <c r="J5" i="55"/>
  <c r="H5" i="55"/>
  <c r="F5" i="55"/>
  <c r="L17" i="54"/>
  <c r="I17" i="54"/>
  <c r="F17" i="54"/>
  <c r="L16" i="54"/>
  <c r="I16" i="54"/>
  <c r="F16" i="54"/>
  <c r="L15" i="54"/>
  <c r="I15" i="54"/>
  <c r="F15" i="54"/>
  <c r="L14" i="54"/>
  <c r="I14" i="54"/>
  <c r="F14" i="54"/>
  <c r="L13" i="54"/>
  <c r="I13" i="54"/>
  <c r="F13" i="54"/>
  <c r="L12" i="54"/>
  <c r="I12" i="54"/>
  <c r="F12" i="54"/>
  <c r="L11" i="54"/>
  <c r="I11" i="54"/>
  <c r="F11" i="54"/>
  <c r="L10" i="54"/>
  <c r="I10" i="54"/>
  <c r="F10" i="54"/>
  <c r="L9" i="54"/>
  <c r="I9" i="54"/>
  <c r="F9" i="54"/>
  <c r="I8" i="54"/>
  <c r="I5" i="54"/>
  <c r="F8" i="54"/>
  <c r="M5" i="54"/>
  <c r="J5" i="54"/>
  <c r="G5" i="54"/>
  <c r="E5" i="54"/>
  <c r="I17" i="53"/>
  <c r="F17" i="53"/>
  <c r="I16" i="53"/>
  <c r="F16" i="53"/>
  <c r="I15" i="53"/>
  <c r="F15" i="53"/>
  <c r="I14" i="53"/>
  <c r="F14" i="53"/>
  <c r="I13" i="53"/>
  <c r="F13" i="53"/>
  <c r="I12" i="53"/>
  <c r="F12" i="53"/>
  <c r="I11" i="53"/>
  <c r="F11" i="53"/>
  <c r="I10" i="53"/>
  <c r="F10" i="53"/>
  <c r="I9" i="53"/>
  <c r="F9" i="53"/>
  <c r="I8" i="53"/>
  <c r="I5" i="53"/>
  <c r="F8" i="53"/>
  <c r="F5" i="53"/>
  <c r="J5" i="53"/>
  <c r="G5" i="53"/>
  <c r="V17" i="52"/>
  <c r="S17" i="52"/>
  <c r="P17" i="52"/>
  <c r="M17" i="52"/>
  <c r="J17" i="52"/>
  <c r="G17" i="52"/>
  <c r="V16" i="52"/>
  <c r="S16" i="52"/>
  <c r="P16" i="52"/>
  <c r="M16" i="52"/>
  <c r="J16" i="52"/>
  <c r="G16" i="52"/>
  <c r="V15" i="52"/>
  <c r="S15" i="52"/>
  <c r="P15" i="52"/>
  <c r="M15" i="52"/>
  <c r="J15" i="52"/>
  <c r="G15" i="52"/>
  <c r="V14" i="52"/>
  <c r="S14" i="52"/>
  <c r="P14" i="52"/>
  <c r="M14" i="52"/>
  <c r="J14" i="52"/>
  <c r="G14" i="52"/>
  <c r="V13" i="52"/>
  <c r="S13" i="52"/>
  <c r="P13" i="52"/>
  <c r="M13" i="52"/>
  <c r="J13" i="52"/>
  <c r="G13" i="52"/>
  <c r="V12" i="52"/>
  <c r="S12" i="52"/>
  <c r="P12" i="52"/>
  <c r="M12" i="52"/>
  <c r="J12" i="52"/>
  <c r="G12" i="52"/>
  <c r="V11" i="52"/>
  <c r="S11" i="52"/>
  <c r="P11" i="52"/>
  <c r="M11" i="52"/>
  <c r="J11" i="52"/>
  <c r="G11" i="52"/>
  <c r="V10" i="52"/>
  <c r="S10" i="52"/>
  <c r="P10" i="52"/>
  <c r="M10" i="52"/>
  <c r="J10" i="52"/>
  <c r="G10" i="52"/>
  <c r="V9" i="52"/>
  <c r="S9" i="52"/>
  <c r="P9" i="52"/>
  <c r="M9" i="52"/>
  <c r="J9" i="52"/>
  <c r="G9" i="52"/>
  <c r="V8" i="52"/>
  <c r="S8" i="52"/>
  <c r="P8" i="52"/>
  <c r="M8" i="52"/>
  <c r="J8" i="52"/>
  <c r="G8" i="52"/>
  <c r="W5" i="52"/>
  <c r="T5" i="52"/>
  <c r="Q5" i="52"/>
  <c r="N5" i="52"/>
  <c r="K5" i="52"/>
  <c r="H5" i="52"/>
  <c r="F5" i="52"/>
  <c r="N15" i="51"/>
  <c r="K15" i="51"/>
  <c r="H15" i="51"/>
  <c r="E15" i="51"/>
  <c r="B15" i="51"/>
  <c r="N14" i="51"/>
  <c r="K14" i="51"/>
  <c r="H14" i="51"/>
  <c r="E14" i="51"/>
  <c r="B14" i="51"/>
  <c r="N13" i="51"/>
  <c r="K13" i="51"/>
  <c r="H13" i="51"/>
  <c r="E13" i="51"/>
  <c r="B13" i="51"/>
  <c r="N12" i="51"/>
  <c r="K12" i="51"/>
  <c r="H12" i="51"/>
  <c r="E12" i="51"/>
  <c r="B12" i="51"/>
  <c r="N11" i="51"/>
  <c r="K11" i="51"/>
  <c r="H11" i="51"/>
  <c r="E11" i="51"/>
  <c r="B11" i="51"/>
  <c r="N10" i="51"/>
  <c r="K10" i="51"/>
  <c r="H10" i="51"/>
  <c r="E10" i="51"/>
  <c r="B10" i="51"/>
  <c r="N9" i="51"/>
  <c r="K9" i="51"/>
  <c r="H9" i="51"/>
  <c r="E9" i="51"/>
  <c r="B9" i="51"/>
  <c r="N8" i="51"/>
  <c r="K8" i="51"/>
  <c r="H8" i="51"/>
  <c r="E8" i="51"/>
  <c r="B8" i="51"/>
  <c r="O5" i="51"/>
  <c r="M5" i="51"/>
  <c r="L5" i="51"/>
  <c r="J5" i="51"/>
  <c r="I5" i="51"/>
  <c r="G5" i="51"/>
  <c r="F5" i="51"/>
  <c r="D5" i="51"/>
  <c r="E11" i="50"/>
  <c r="B11" i="50"/>
  <c r="E10" i="50"/>
  <c r="B10" i="50"/>
  <c r="E9" i="50"/>
  <c r="B9" i="50"/>
  <c r="E8" i="50"/>
  <c r="B8" i="50"/>
  <c r="F5" i="50"/>
  <c r="D5" i="50"/>
  <c r="H6" i="56"/>
  <c r="K6" i="56"/>
  <c r="N6" i="56"/>
  <c r="Q6" i="56"/>
  <c r="T6" i="56"/>
  <c r="W17" i="55"/>
  <c r="W16" i="55"/>
  <c r="W15" i="55"/>
  <c r="W14" i="55"/>
  <c r="W13" i="55"/>
  <c r="W12" i="55"/>
  <c r="W11" i="55"/>
  <c r="W10" i="55"/>
  <c r="W9" i="55"/>
  <c r="W8" i="55"/>
  <c r="W5" i="55"/>
  <c r="P17" i="54"/>
  <c r="P16" i="54"/>
  <c r="P15" i="54"/>
  <c r="P14" i="54"/>
  <c r="P13" i="54"/>
  <c r="P12" i="54"/>
  <c r="P11" i="54"/>
  <c r="P10" i="54"/>
  <c r="P9" i="54"/>
  <c r="P8" i="54"/>
  <c r="P5" i="54"/>
  <c r="E5" i="51"/>
  <c r="E6" i="51"/>
  <c r="P6" i="55"/>
  <c r="M5" i="55"/>
  <c r="G5" i="55"/>
  <c r="G6" i="55"/>
  <c r="M6" i="55"/>
  <c r="I5" i="52"/>
  <c r="R5" i="52"/>
  <c r="U5" i="52"/>
  <c r="F5" i="54"/>
  <c r="F6" i="54"/>
  <c r="I5" i="55"/>
  <c r="J6" i="55"/>
  <c r="S8" i="55"/>
  <c r="Y8" i="55"/>
  <c r="G5" i="52"/>
  <c r="G6" i="52"/>
  <c r="M5" i="52"/>
  <c r="S5" i="52"/>
  <c r="H5" i="53"/>
  <c r="I6" i="53"/>
  <c r="H5" i="54"/>
  <c r="I6" i="54"/>
  <c r="L8" i="54"/>
  <c r="L5" i="54"/>
  <c r="K5" i="54"/>
  <c r="O9" i="54"/>
  <c r="O10" i="54"/>
  <c r="O11" i="54"/>
  <c r="O12" i="54"/>
  <c r="O13" i="54"/>
  <c r="O14" i="54"/>
  <c r="O15" i="54"/>
  <c r="O16" i="54"/>
  <c r="O17" i="54"/>
  <c r="J5" i="52"/>
  <c r="J6" i="52"/>
  <c r="P5" i="52"/>
  <c r="V5" i="52"/>
  <c r="V6" i="52"/>
  <c r="O5" i="52"/>
  <c r="E5" i="53"/>
  <c r="E5" i="50"/>
  <c r="E6" i="50"/>
  <c r="B6" i="50"/>
  <c r="S6" i="52"/>
  <c r="K5" i="51"/>
  <c r="K6" i="51"/>
  <c r="L5" i="52"/>
  <c r="M6" i="52"/>
  <c r="H5" i="51"/>
  <c r="H6" i="51"/>
  <c r="N5" i="51"/>
  <c r="N6" i="51"/>
  <c r="B5" i="50"/>
  <c r="Y5" i="55"/>
  <c r="X5" i="55"/>
  <c r="Y6" i="55"/>
  <c r="S5" i="55"/>
  <c r="R5" i="55"/>
  <c r="L6" i="54"/>
  <c r="O8" i="54"/>
  <c r="O5" i="54"/>
  <c r="N5" i="54"/>
  <c r="P6" i="52"/>
  <c r="B5" i="52"/>
  <c r="F6" i="53"/>
  <c r="B6" i="53"/>
  <c r="B6" i="51"/>
  <c r="B6" i="52"/>
  <c r="B5" i="51"/>
  <c r="O6" i="54"/>
  <c r="S6" i="55"/>
  <c r="B5" i="54"/>
  <c r="B6" i="54"/>
  <c r="B5" i="53"/>
  <c r="B5" i="56"/>
  <c r="B6" i="56"/>
  <c r="V14" i="55"/>
  <c r="V15" i="55"/>
  <c r="V16" i="55"/>
  <c r="V17" i="55"/>
  <c r="V13" i="55"/>
  <c r="V12" i="55"/>
  <c r="V11" i="55"/>
  <c r="V10" i="55"/>
  <c r="V9" i="55"/>
  <c r="V8" i="55"/>
  <c r="V5" i="55"/>
  <c r="U5" i="55"/>
  <c r="V6" i="55"/>
  <c r="B6" i="55"/>
  <c r="B5" i="55"/>
</calcChain>
</file>

<file path=xl/sharedStrings.xml><?xml version="1.0" encoding="utf-8"?>
<sst xmlns="http://schemas.openxmlformats.org/spreadsheetml/2006/main" count="345" uniqueCount="154">
  <si>
    <t>3 Proven Skills to Reclaim 45 Min a Day</t>
  </si>
  <si>
    <r>
      <rPr>
        <b/>
        <sz val="13"/>
        <color rgb="FF177390"/>
        <rFont val="Calibri"/>
        <family val="2"/>
      </rPr>
      <t>Memory Trick:</t>
    </r>
    <r>
      <rPr>
        <sz val="13"/>
        <color rgb="FF177390"/>
        <rFont val="Calibri"/>
        <family val="2"/>
      </rPr>
      <t xml:space="preserve"> FSPHH = "</t>
    </r>
    <r>
      <rPr>
        <b/>
        <u/>
        <sz val="13"/>
        <color rgb="FF177390"/>
        <rFont val="Calibri"/>
        <family val="2"/>
      </rPr>
      <t>F</t>
    </r>
    <r>
      <rPr>
        <sz val="13"/>
        <color rgb="FF177390"/>
        <rFont val="Calibri"/>
        <family val="2"/>
      </rPr>
      <t xml:space="preserve">ancy </t>
    </r>
    <r>
      <rPr>
        <b/>
        <u/>
        <sz val="13"/>
        <color rgb="FF177390"/>
        <rFont val="Calibri"/>
        <family val="2"/>
      </rPr>
      <t>S</t>
    </r>
    <r>
      <rPr>
        <sz val="13"/>
        <color rgb="FF177390"/>
        <rFont val="Calibri"/>
        <family val="2"/>
      </rPr>
      <t xml:space="preserve">tandard </t>
    </r>
    <r>
      <rPr>
        <b/>
        <u/>
        <sz val="13"/>
        <color rgb="FF177390"/>
        <rFont val="Calibri"/>
        <family val="2"/>
      </rPr>
      <t>P</t>
    </r>
    <r>
      <rPr>
        <sz val="13"/>
        <color rgb="FF177390"/>
        <rFont val="Calibri"/>
        <family val="2"/>
      </rPr>
      <t xml:space="preserve">ractice for </t>
    </r>
    <r>
      <rPr>
        <b/>
        <u/>
        <sz val="13"/>
        <color rgb="FF177390"/>
        <rFont val="Calibri"/>
        <family val="2"/>
      </rPr>
      <t>H</t>
    </r>
    <r>
      <rPr>
        <sz val="13"/>
        <color rgb="FF177390"/>
        <rFont val="Calibri"/>
        <family val="2"/>
      </rPr>
      <t xml:space="preserve">elping </t>
    </r>
    <r>
      <rPr>
        <b/>
        <u/>
        <sz val="13"/>
        <color rgb="FF177390"/>
        <rFont val="Calibri"/>
        <family val="2"/>
      </rPr>
      <t>H</t>
    </r>
    <r>
      <rPr>
        <sz val="13"/>
        <color rgb="FF177390"/>
        <rFont val="Calibri"/>
        <family val="2"/>
      </rPr>
      <t>ippos"</t>
    </r>
  </si>
  <si>
    <t>Account ID</t>
  </si>
  <si>
    <t>Full Name</t>
  </si>
  <si>
    <t>Cory Gibes</t>
  </si>
  <si>
    <t>Wilda Giguere</t>
  </si>
  <si>
    <t>Natalie Fern</t>
  </si>
  <si>
    <t>Lisha Centini</t>
  </si>
  <si>
    <t>Start Year</t>
  </si>
  <si>
    <t>YEAR</t>
  </si>
  <si>
    <t>Start Year ANS</t>
  </si>
  <si>
    <t>ANSWER</t>
  </si>
  <si>
    <t>Answer Status</t>
  </si>
  <si>
    <t>Correct</t>
  </si>
  <si>
    <t>Wrong</t>
  </si>
  <si>
    <t>Start Month</t>
  </si>
  <si>
    <t>MONTH</t>
  </si>
  <si>
    <t>Start Month ANS</t>
  </si>
  <si>
    <t>Answer Status Q01</t>
  </si>
  <si>
    <t>Answer Status Q02</t>
  </si>
  <si>
    <t>Answer Status Q03</t>
  </si>
  <si>
    <t>DAY</t>
  </si>
  <si>
    <t>DATE</t>
  </si>
  <si>
    <t>Start Day</t>
  </si>
  <si>
    <t>3 Months After Start Date</t>
  </si>
  <si>
    <t>Start Day ANS</t>
  </si>
  <si>
    <t>Answer Status Q04</t>
  </si>
  <si>
    <t>3 Months After Start Date ANS</t>
  </si>
  <si>
    <t>% Attempted</t>
  </si>
  <si>
    <t>% Correct</t>
  </si>
  <si>
    <t>AVERAGE</t>
  </si>
  <si>
    <t>Answer Status Q05</t>
  </si>
  <si>
    <t>Answer Status Q06</t>
  </si>
  <si>
    <t>State</t>
  </si>
  <si>
    <t>NY</t>
  </si>
  <si>
    <t>CT</t>
  </si>
  <si>
    <t>NJ</t>
  </si>
  <si>
    <t>MA</t>
  </si>
  <si>
    <t>IN</t>
  </si>
  <si>
    <t>MD</t>
  </si>
  <si>
    <t>FL</t>
  </si>
  <si>
    <t>IF</t>
  </si>
  <si>
    <t>Y</t>
  </si>
  <si>
    <t>N</t>
  </si>
  <si>
    <t>Function(s)</t>
  </si>
  <si>
    <t>Formula Element</t>
  </si>
  <si>
    <t>Reference(s)</t>
  </si>
  <si>
    <t>Operator(s)</t>
  </si>
  <si>
    <t>Constant(s)</t>
  </si>
  <si>
    <t>ID</t>
  </si>
  <si>
    <t>B12</t>
  </si>
  <si>
    <t>&gt;=</t>
  </si>
  <si>
    <t>529</t>
  </si>
  <si>
    <t>Hint: "FROC!"</t>
  </si>
  <si>
    <t>Formula Excerpt</t>
  </si>
  <si>
    <t>Fill in Empty Cells (Gray Borders) with Correct Formula Element from Dropdown List</t>
  </si>
  <si>
    <t>Formula Element ANS</t>
  </si>
  <si>
    <t>Contains Function(s) Y/N</t>
  </si>
  <si>
    <t>Contains Reference(s) Y/N</t>
  </si>
  <si>
    <t>Contains Operator(s) Y/N</t>
  </si>
  <si>
    <t>Contains Constant(s) Y/N</t>
  </si>
  <si>
    <t>YesNo</t>
  </si>
  <si>
    <t>=SUM($A$1:A20)</t>
  </si>
  <si>
    <t>=T2+T1000</t>
  </si>
  <si>
    <t>=100^V8</t>
  </si>
  <si>
    <t>=G6</t>
  </si>
  <si>
    <t>=300</t>
  </si>
  <si>
    <t>Contains Function(s) Y/N ANS</t>
  </si>
  <si>
    <t>Contains Reference(s) Y/N ANS</t>
  </si>
  <si>
    <t>Contains Operator(s) Y/N ANS</t>
  </si>
  <si>
    <t>Contains Constant(s) Y/N ANS</t>
  </si>
  <si>
    <t>Formula Example</t>
  </si>
  <si>
    <t>=ISTEXT(EXACT("Blue","Red"))</t>
  </si>
  <si>
    <t>=IF(A1&gt;100,"Approve","Deny")</t>
  </si>
  <si>
    <t>=IF(5=5, 20&lt;&gt;$F$5, W9 &amp; M2)</t>
  </si>
  <si>
    <t>% Change (Y2 - Y1) / Y1</t>
  </si>
  <si>
    <t>-, /, (, and )</t>
  </si>
  <si>
    <t>^</t>
  </si>
  <si>
    <t>% Change (Y2 - Y1) / Y1 ANS</t>
  </si>
  <si>
    <t>&lt;=</t>
  </si>
  <si>
    <t>Is Y1 Less Than or Equal to Y2</t>
  </si>
  <si>
    <t>Is Y1 Less Than or Equal to Y2 ANS</t>
  </si>
  <si>
    <t>Is Y1 Equal to Y2</t>
  </si>
  <si>
    <t>=</t>
  </si>
  <si>
    <t>Is Y1 Equal to Y2 ANS</t>
  </si>
  <si>
    <t>Is Y1 Not Equal to Y2</t>
  </si>
  <si>
    <t>&lt;&gt;</t>
  </si>
  <si>
    <t>&amp;</t>
  </si>
  <si>
    <t>Is Y1 Not Equal to Y2 ANS</t>
  </si>
  <si>
    <t>Account ID: Full Name</t>
  </si>
  <si>
    <t>Account ID: Full Name ANS</t>
  </si>
  <si>
    <t>A1) Formula Elements</t>
  </si>
  <si>
    <t>B3) Placeholders</t>
  </si>
  <si>
    <t>A2) Syntax</t>
  </si>
  <si>
    <t>Member Dues Year 1</t>
  </si>
  <si>
    <t>Member Dues Year 2</t>
  </si>
  <si>
    <t>Member Dues Y1^2</t>
  </si>
  <si>
    <t>A0) Formula Elements Intro</t>
  </si>
  <si>
    <t>B5) Help</t>
  </si>
  <si>
    <t>B4) Helper Columns</t>
  </si>
  <si>
    <t>Is State "NY" ("blah true" or "blah false")</t>
  </si>
  <si>
    <t>Is State "NY" ("blah true" or "blah false") ANS</t>
  </si>
  <si>
    <t>Q#</t>
  </si>
  <si>
    <t>Member Start Date</t>
  </si>
  <si>
    <t>Elvera Benim</t>
  </si>
  <si>
    <t>Carma Heusen</t>
  </si>
  <si>
    <t>Malinda Hoc</t>
  </si>
  <si>
    <t>Danica Brusch</t>
  </si>
  <si>
    <t>Tammy Ward</t>
  </si>
  <si>
    <t>Arlene Klus</t>
  </si>
  <si>
    <t>Answer Status Q07</t>
  </si>
  <si>
    <t>TEXT</t>
  </si>
  <si>
    <t>Start Weekday ("DDD")</t>
  </si>
  <si>
    <t>Start Weekday ("DDD") ANS</t>
  </si>
  <si>
    <t>Start Month ("MMM")</t>
  </si>
  <si>
    <t>Start Month ("MMM") ANS</t>
  </si>
  <si>
    <t>Start Day ("D")</t>
  </si>
  <si>
    <t>Start Day ("D") ANS</t>
  </si>
  <si>
    <t>Start Year ("YYYY")</t>
  </si>
  <si>
    <t>Start Year ("YYYY") ANS</t>
  </si>
  <si>
    <t>CONCAT</t>
  </si>
  <si>
    <r>
      <t xml:space="preserve">1. </t>
    </r>
    <r>
      <rPr>
        <b/>
        <u/>
        <sz val="13"/>
        <color rgb="FF636568"/>
        <rFont val="Calibri"/>
        <family val="2"/>
      </rPr>
      <t>F</t>
    </r>
    <r>
      <rPr>
        <sz val="13"/>
        <color rgb="FF636568"/>
        <rFont val="Calibri"/>
        <family val="2"/>
      </rPr>
      <t>ormulas Vs. Functions and FROC (the 4 possible elements of a formula).</t>
    </r>
  </si>
  <si>
    <r>
      <t xml:space="preserve">2. </t>
    </r>
    <r>
      <rPr>
        <b/>
        <u/>
        <sz val="13"/>
        <color rgb="FF636568"/>
        <rFont val="Calibri"/>
        <family val="2"/>
      </rPr>
      <t>S</t>
    </r>
    <r>
      <rPr>
        <sz val="13"/>
        <color rgb="FF636568"/>
        <rFont val="Calibri"/>
        <family val="2"/>
      </rPr>
      <t>yntax - Learn the language of formulas (grammar, punctuation, and vocabulary).</t>
    </r>
  </si>
  <si>
    <r>
      <t xml:space="preserve">3. </t>
    </r>
    <r>
      <rPr>
        <b/>
        <u/>
        <sz val="13"/>
        <color rgb="FF636568"/>
        <rFont val="Calibri"/>
        <family val="2"/>
      </rPr>
      <t>P</t>
    </r>
    <r>
      <rPr>
        <sz val="13"/>
        <color rgb="FF636568"/>
        <rFont val="Calibri"/>
        <family val="2"/>
      </rPr>
      <t>laceholders - Save formula progress and eliminate 80% of errors.</t>
    </r>
  </si>
  <si>
    <r>
      <t xml:space="preserve">4. </t>
    </r>
    <r>
      <rPr>
        <b/>
        <u/>
        <sz val="13"/>
        <color rgb="FF636568"/>
        <rFont val="Calibri"/>
        <family val="2"/>
      </rPr>
      <t>H</t>
    </r>
    <r>
      <rPr>
        <sz val="13"/>
        <color rgb="FF636568"/>
        <rFont val="Calibri"/>
        <family val="2"/>
      </rPr>
      <t>elper Columns - Simplify complex formulas.</t>
    </r>
  </si>
  <si>
    <t>Member Dues Y1^2 ANS</t>
  </si>
  <si>
    <t>Fill in Empty Cells (Gray Borders) with Correct Formulas [Expand Hidden Columns for ANSWERS]</t>
  </si>
  <si>
    <t>Fill in Empty Cells (Gray Borders) with Correct Answers [Expand Hidden Columns for ANSWERS]</t>
  </si>
  <si>
    <t>Is State "NY" (If true, show Account ID: Full Name. If false, show Account ID-State)</t>
  </si>
  <si>
    <t>Is State "NY" (If true, show Account ID: Full Name. If false, show Account ID-State) ANS</t>
  </si>
  <si>
    <t>Module 3 - Formula Fundamentals: 5 Missing Keys to Formula Proficiency</t>
  </si>
  <si>
    <t>Full Start Date ("DDD, MMM D, YYYY")</t>
  </si>
  <si>
    <t>Full Start Date ("DDD, MMM D, YYYY") ANS</t>
  </si>
  <si>
    <t>Full Start Date ("DDD, MMM D, YYYY") using Q1-4</t>
  </si>
  <si>
    <t>Full Start Date ("DDD, MMM D, YYYY") using Q1-4 ANS</t>
  </si>
  <si>
    <t>EDATE</t>
  </si>
  <si>
    <t>9 Months After Member Start Date</t>
  </si>
  <si>
    <t>9 Months After Member Start Date ANS</t>
  </si>
  <si>
    <r>
      <t xml:space="preserve">5. </t>
    </r>
    <r>
      <rPr>
        <b/>
        <u/>
        <sz val="13"/>
        <color rgb="FF636568"/>
        <rFont val="Calibri"/>
        <family val="2"/>
      </rPr>
      <t>H</t>
    </r>
    <r>
      <rPr>
        <sz val="13"/>
        <color rgb="FF636568"/>
        <rFont val="Calibri"/>
        <family val="2"/>
      </rPr>
      <t>elp - Leverage the ExcelShir Help Hierarchy ("BIPE").</t>
    </r>
  </si>
  <si>
    <t>BONUS) Complex Formulas</t>
  </si>
  <si>
    <t>Member Dues</t>
  </si>
  <si>
    <t>First Letter of State</t>
  </si>
  <si>
    <t>LEFT</t>
  </si>
  <si>
    <t>Did Member start before 12/1/13 (T/F)</t>
  </si>
  <si>
    <t>Does State Start with "N" (T/F)</t>
  </si>
  <si>
    <t>Single Formula - If Member started before 12/1/13, show "Too early". Otherwise, if State starts with the letter "N", show double the Member Dues. Otherwise, show Memer Dues.</t>
  </si>
  <si>
    <t>Single Formula - If Member started before 12/1/13, show "Too early". Otherwise, if State starts with the letter "N", show double the Member Dues. Otherwise, show Memer Dues. ANS</t>
  </si>
  <si>
    <t>Using Helper Columns - If Member started before 12/1/13, show "Too early". Otherwise, if State starts with the letter "N", show double the Member Dues. Otherwise, show Memer Dues.</t>
  </si>
  <si>
    <t>Did Member start before 12/1/13 (T/F) ANS</t>
  </si>
  <si>
    <t>First Letter of State ANS</t>
  </si>
  <si>
    <t>Does State Start with "N" (T/F) ANS</t>
  </si>
  <si>
    <t>Using Helper Columns - If Member started before 12/1/13, show "Too early". Otherwise, if State starts with the letter "N", show double the Member Dues. Otherwise, show Memer Dues. ANS</t>
  </si>
  <si>
    <t>BONUS: Complex Formulas</t>
  </si>
  <si>
    <t>Excel Cornerstones Master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</si>
</sst>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$&quot;#,##0"/>
    <numFmt numFmtId="165" formatCode="mm/dd/yy;@"/>
    <numFmt numFmtId="166" formatCode="&quot;$&quot;#,##0.00"/>
    <numFmt numFmtId="167" formatCode="m/d/yy;@"/>
  </numFmts>
  <fonts count="27" x14ac:knownFonts="1">
    <font>
      <sz val="11"/>
      <color theme="1"/>
      <name val="Calibri"/>
      <family val="2"/>
    </font>
    <font>
      <sz val="11"/>
      <color theme="0" tint="-0.34998626667073579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i/>
      <sz val="11"/>
      <color rgb="FF7030A0"/>
      <name val="Calibri"/>
      <family val="2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color theme="1" tint="0.24994659260841701"/>
      <name val="Calibri"/>
      <family val="2"/>
      <scheme val="minor"/>
    </font>
    <font>
      <sz val="11"/>
      <color rgb="FF636568"/>
      <name val="Calibri"/>
      <family val="2"/>
    </font>
    <font>
      <sz val="36"/>
      <color rgb="FF636568"/>
      <name val="Calibri"/>
      <family val="2"/>
    </font>
    <font>
      <sz val="20"/>
      <color rgb="FF636568"/>
      <name val="Calibri"/>
      <family val="2"/>
    </font>
    <font>
      <sz val="16"/>
      <color rgb="FF636568"/>
      <name val="Calibri"/>
      <family val="2"/>
    </font>
    <font>
      <sz val="13"/>
      <color rgb="FF636568"/>
      <name val="Calibri"/>
      <family val="2"/>
    </font>
    <font>
      <b/>
      <sz val="16"/>
      <color rgb="FF636568"/>
      <name val="Calibri"/>
      <family val="2"/>
    </font>
    <font>
      <b/>
      <u/>
      <sz val="13"/>
      <color rgb="FF636568"/>
      <name val="Calibri"/>
      <family val="2"/>
    </font>
    <font>
      <sz val="13"/>
      <color rgb="FF177390"/>
      <name val="Calibri"/>
      <family val="2"/>
    </font>
    <font>
      <b/>
      <sz val="13"/>
      <color rgb="FF177390"/>
      <name val="Calibri"/>
      <family val="2"/>
    </font>
    <font>
      <b/>
      <u/>
      <sz val="13"/>
      <color rgb="FF177390"/>
      <name val="Calibri"/>
      <family val="2"/>
    </font>
    <font>
      <i/>
      <sz val="14"/>
      <color rgb="FF636568"/>
      <name val="Calibri"/>
      <family val="2"/>
    </font>
    <font>
      <b/>
      <sz val="11"/>
      <color theme="1"/>
      <name val="Calibri"/>
      <family val="2"/>
    </font>
    <font>
      <b/>
      <i/>
      <sz val="11"/>
      <color theme="0"/>
      <name val="Calibri"/>
      <family val="2"/>
    </font>
    <font>
      <i/>
      <sz val="11"/>
      <color theme="1"/>
      <name val="Calibri"/>
      <family val="2"/>
    </font>
    <font>
      <i/>
      <sz val="11"/>
      <color rgb="FF7F7F7F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40B4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8E908F"/>
        <bgColor indexed="64"/>
      </patternFill>
    </fill>
    <fill>
      <patternFill patternType="solid">
        <fgColor rgb="FFFFD101"/>
        <bgColor indexed="64"/>
      </patternFill>
    </fill>
    <fill>
      <patternFill patternType="solid">
        <fgColor rgb="FFFFEB9C"/>
      </patternFill>
    </fill>
    <fill>
      <patternFill patternType="solid">
        <fgColor rgb="FF2297D4"/>
        <bgColor indexed="64"/>
      </patternFill>
    </fill>
    <fill>
      <patternFill patternType="solid">
        <fgColor rgb="FFEE332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6F6F5"/>
        <bgColor indexed="64"/>
      </patternFill>
    </fill>
    <fill>
      <patternFill patternType="solid">
        <fgColor rgb="FFEBFEFC"/>
        <bgColor indexed="64"/>
      </patternFill>
    </fill>
  </fills>
  <borders count="1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/>
      <diagonal/>
    </border>
  </borders>
  <cellStyleXfs count="21">
    <xf numFmtId="0" fontId="0" fillId="0" borderId="0"/>
    <xf numFmtId="9" fontId="9" fillId="0" borderId="0" applyFont="0" applyFill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8" borderId="0" applyNumberFormat="0" applyBorder="0" applyAlignment="0" applyProtection="0"/>
    <xf numFmtId="0" fontId="5" fillId="0" borderId="1" applyNumberFormat="0" applyFill="0" applyAlignment="0">
      <protection locked="0"/>
    </xf>
    <xf numFmtId="0" fontId="3" fillId="0" borderId="0" applyNumberFormat="0" applyFill="0" applyBorder="0" applyAlignment="0"/>
    <xf numFmtId="0" fontId="11" fillId="0" borderId="0" applyNumberFormat="0" applyFill="0" applyBorder="0" applyAlignment="0"/>
    <xf numFmtId="0" fontId="1" fillId="0" borderId="0" applyNumberFormat="0" applyFill="0" applyBorder="0" applyAlignment="0"/>
    <xf numFmtId="164" fontId="4" fillId="0" borderId="0" applyNumberFormat="0" applyFill="0" applyBorder="0" applyAlignment="0" applyProtection="0">
      <alignment horizontal="right"/>
    </xf>
    <xf numFmtId="10" fontId="6" fillId="0" borderId="0" applyNumberFormat="0" applyFill="0" applyBorder="0" applyAlignment="0" applyProtection="0"/>
    <xf numFmtId="0" fontId="7" fillId="0" borderId="0" applyNumberFormat="0" applyFill="0" applyBorder="0" applyAlignment="0"/>
    <xf numFmtId="0" fontId="8" fillId="0" borderId="1" applyNumberFormat="0" applyFill="0" applyAlignment="0">
      <protection locked="0"/>
    </xf>
    <xf numFmtId="0" fontId="2" fillId="2" borderId="0" applyNumberFormat="0" applyBorder="0" applyAlignment="0"/>
    <xf numFmtId="0" fontId="2" fillId="9" borderId="0" applyNumberFormat="0" applyBorder="0" applyAlignment="0"/>
    <xf numFmtId="0" fontId="2" fillId="6" borderId="0" applyNumberFormat="0" applyBorder="0" applyAlignment="0"/>
    <xf numFmtId="0" fontId="2" fillId="3" borderId="0" applyNumberFormat="0" applyBorder="0" applyAlignment="0"/>
    <xf numFmtId="0" fontId="10" fillId="7" borderId="0" applyNumberFormat="0" applyBorder="0" applyAlignment="0"/>
    <xf numFmtId="0" fontId="2" fillId="10" borderId="0" applyNumberFormat="0" applyBorder="0" applyAlignment="0"/>
    <xf numFmtId="0" fontId="2" fillId="11" borderId="0" applyNumberFormat="0" applyBorder="0" applyAlignment="0"/>
    <xf numFmtId="0" fontId="26" fillId="0" borderId="0" applyNumberFormat="0" applyFill="0" applyBorder="0" applyAlignment="0" applyProtection="0"/>
  </cellStyleXfs>
  <cellXfs count="103">
    <xf numFmtId="0" fontId="0" fillId="0" borderId="0" xfId="0"/>
    <xf numFmtId="0" fontId="12" fillId="12" borderId="0" xfId="0" applyFont="1" applyFill="1"/>
    <xf numFmtId="0" fontId="13" fillId="12" borderId="0" xfId="0" applyFont="1" applyFill="1"/>
    <xf numFmtId="0" fontId="14" fillId="12" borderId="0" xfId="0" applyFont="1" applyFill="1"/>
    <xf numFmtId="0" fontId="15" fillId="12" borderId="0" xfId="0" applyFont="1" applyFill="1"/>
    <xf numFmtId="0" fontId="16" fillId="12" borderId="0" xfId="0" applyFont="1" applyFill="1"/>
    <xf numFmtId="0" fontId="17" fillId="12" borderId="0" xfId="0" applyFont="1" applyFill="1"/>
    <xf numFmtId="0" fontId="19" fillId="12" borderId="0" xfId="0" applyFont="1" applyFill="1"/>
    <xf numFmtId="0" fontId="0" fillId="12" borderId="0" xfId="0" applyFill="1"/>
    <xf numFmtId="0" fontId="22" fillId="12" borderId="0" xfId="0" applyFont="1" applyFill="1"/>
    <xf numFmtId="0" fontId="0" fillId="13" borderId="0" xfId="0" applyFill="1"/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0" fontId="23" fillId="13" borderId="0" xfId="0" applyFont="1" applyFill="1" applyAlignment="1">
      <alignment horizontal="right"/>
    </xf>
    <xf numFmtId="0" fontId="0" fillId="13" borderId="0" xfId="0" applyFill="1" applyAlignment="1">
      <alignment horizontal="center"/>
    </xf>
    <xf numFmtId="0" fontId="24" fillId="2" borderId="0" xfId="13" applyFont="1" applyAlignment="1">
      <alignment horizontal="right"/>
    </xf>
    <xf numFmtId="0" fontId="5" fillId="0" borderId="1" xfId="5" applyAlignment="1">
      <alignment horizontal="center"/>
      <protection locked="0"/>
    </xf>
    <xf numFmtId="0" fontId="0" fillId="0" borderId="2" xfId="0" applyBorder="1" applyAlignment="1">
      <alignment wrapText="1"/>
    </xf>
    <xf numFmtId="0" fontId="0" fillId="13" borderId="4" xfId="0" applyFill="1" applyBorder="1" applyAlignment="1">
      <alignment horizontal="center"/>
    </xf>
    <xf numFmtId="0" fontId="0" fillId="0" borderId="5" xfId="0" applyBorder="1" applyAlignment="1">
      <alignment horizontal="right" wrapText="1"/>
    </xf>
    <xf numFmtId="0" fontId="24" fillId="2" borderId="2" xfId="13" applyFont="1" applyBorder="1" applyAlignment="1">
      <alignment horizontal="right" wrapText="1"/>
    </xf>
    <xf numFmtId="0" fontId="4" fillId="0" borderId="0" xfId="9" applyNumberFormat="1" applyAlignment="1"/>
    <xf numFmtId="0" fontId="24" fillId="6" borderId="2" xfId="15" applyFont="1" applyBorder="1" applyAlignment="1">
      <alignment horizontal="center" wrapText="1"/>
    </xf>
    <xf numFmtId="0" fontId="25" fillId="0" borderId="0" xfId="0" applyFont="1" applyAlignment="1">
      <alignment horizontal="center"/>
    </xf>
    <xf numFmtId="9" fontId="4" fillId="13" borderId="0" xfId="9" applyNumberFormat="1" applyFill="1" applyAlignment="1">
      <alignment horizontal="center"/>
    </xf>
    <xf numFmtId="0" fontId="0" fillId="0" borderId="5" xfId="0" applyBorder="1" applyAlignment="1">
      <alignment horizontal="left" wrapText="1"/>
    </xf>
    <xf numFmtId="0" fontId="0" fillId="13" borderId="4" xfId="0" applyFill="1" applyBorder="1" applyAlignment="1">
      <alignment horizontal="left"/>
    </xf>
    <xf numFmtId="0" fontId="24" fillId="2" borderId="0" xfId="13" applyFont="1" applyAlignment="1">
      <alignment horizontal="left"/>
    </xf>
    <xf numFmtId="0" fontId="24" fillId="2" borderId="2" xfId="13" applyFont="1" applyBorder="1" applyAlignment="1">
      <alignment horizontal="left" wrapText="1"/>
    </xf>
    <xf numFmtId="165" fontId="5" fillId="0" borderId="7" xfId="5" applyNumberFormat="1" applyBorder="1" applyAlignment="1">
      <alignment horizontal="left"/>
      <protection locked="0"/>
    </xf>
    <xf numFmtId="165" fontId="4" fillId="0" borderId="0" xfId="9" applyNumberFormat="1" applyAlignment="1">
      <alignment horizontal="left"/>
    </xf>
    <xf numFmtId="0" fontId="23" fillId="13" borderId="6" xfId="0" applyFont="1" applyFill="1" applyBorder="1"/>
    <xf numFmtId="0" fontId="1" fillId="13" borderId="4" xfId="8" applyFill="1" applyBorder="1" applyAlignment="1">
      <alignment horizontal="center"/>
    </xf>
    <xf numFmtId="0" fontId="1" fillId="13" borderId="0" xfId="8" applyFill="1" applyBorder="1" applyAlignment="1">
      <alignment horizontal="center"/>
    </xf>
    <xf numFmtId="9" fontId="4" fillId="13" borderId="3" xfId="9" applyNumberFormat="1" applyFill="1" applyBorder="1" applyAlignment="1">
      <alignment horizontal="center"/>
    </xf>
    <xf numFmtId="0" fontId="5" fillId="0" borderId="8" xfId="5" applyBorder="1" applyAlignment="1">
      <alignment horizontal="left"/>
      <protection locked="0"/>
    </xf>
    <xf numFmtId="0" fontId="5" fillId="0" borderId="7" xfId="5" applyBorder="1" applyAlignment="1">
      <alignment horizontal="left"/>
      <protection locked="0"/>
    </xf>
    <xf numFmtId="0" fontId="4" fillId="0" borderId="0" xfId="9" applyNumberFormat="1" applyAlignment="1">
      <alignment horizontal="left"/>
    </xf>
    <xf numFmtId="0" fontId="0" fillId="0" borderId="2" xfId="0" applyBorder="1" applyAlignment="1">
      <alignment horizontal="right" wrapText="1"/>
    </xf>
    <xf numFmtId="166" fontId="4" fillId="0" borderId="0" xfId="9" applyNumberFormat="1" applyAlignment="1">
      <alignment horizontal="right"/>
    </xf>
    <xf numFmtId="0" fontId="24" fillId="6" borderId="9" xfId="15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23" fillId="13" borderId="0" xfId="0" applyFont="1" applyFill="1"/>
    <xf numFmtId="0" fontId="0" fillId="0" borderId="5" xfId="0" applyBorder="1" applyAlignment="1">
      <alignment horizontal="center" wrapText="1"/>
    </xf>
    <xf numFmtId="0" fontId="24" fillId="2" borderId="2" xfId="13" applyFont="1" applyBorder="1" applyAlignment="1">
      <alignment horizontal="center" wrapText="1"/>
    </xf>
    <xf numFmtId="0" fontId="24" fillId="2" borderId="0" xfId="13" applyFont="1" applyAlignment="1">
      <alignment horizontal="center"/>
    </xf>
    <xf numFmtId="0" fontId="0" fillId="0" borderId="10" xfId="0" applyBorder="1" applyAlignment="1">
      <alignment horizontal="center" wrapText="1"/>
    </xf>
    <xf numFmtId="0" fontId="24" fillId="2" borderId="9" xfId="13" applyFont="1" applyBorder="1" applyAlignment="1">
      <alignment horizontal="center" wrapText="1"/>
    </xf>
    <xf numFmtId="0" fontId="5" fillId="0" borderId="11" xfId="5" applyBorder="1">
      <protection locked="0"/>
    </xf>
    <xf numFmtId="0" fontId="5" fillId="0" borderId="11" xfId="5" applyBorder="1" applyAlignment="1">
      <alignment horizontal="center"/>
      <protection locked="0"/>
    </xf>
    <xf numFmtId="0" fontId="0" fillId="0" borderId="2" xfId="0" applyBorder="1" applyAlignment="1">
      <alignment horizontal="center" wrapText="1"/>
    </xf>
    <xf numFmtId="0" fontId="5" fillId="0" borderId="12" xfId="5" applyFill="1" applyBorder="1">
      <protection locked="0"/>
    </xf>
    <xf numFmtId="49" fontId="0" fillId="0" borderId="0" xfId="0" applyNumberFormat="1" applyAlignment="1">
      <alignment horizontal="left"/>
    </xf>
    <xf numFmtId="0" fontId="15" fillId="12" borderId="0" xfId="0" applyFont="1" applyFill="1" applyAlignment="1">
      <alignment horizontal="left" indent="21"/>
    </xf>
    <xf numFmtId="0" fontId="22" fillId="12" borderId="0" xfId="0" applyFont="1" applyFill="1" applyAlignment="1">
      <alignment horizontal="left" indent="21"/>
    </xf>
    <xf numFmtId="0" fontId="26" fillId="13" borderId="4" xfId="20" applyFill="1" applyBorder="1" applyAlignment="1">
      <alignment horizontal="left"/>
    </xf>
    <xf numFmtId="0" fontId="0" fillId="0" borderId="0" xfId="0" applyAlignment="1">
      <alignment wrapText="1"/>
    </xf>
    <xf numFmtId="0" fontId="5" fillId="0" borderId="12" xfId="5" applyFill="1" applyBorder="1" applyAlignment="1">
      <alignment horizontal="center"/>
      <protection locked="0"/>
    </xf>
    <xf numFmtId="0" fontId="5" fillId="0" borderId="8" xfId="5" applyBorder="1" applyAlignment="1">
      <alignment horizontal="center"/>
      <protection locked="0"/>
    </xf>
    <xf numFmtId="0" fontId="5" fillId="0" borderId="7" xfId="5" applyBorder="1" applyAlignment="1">
      <alignment horizontal="center"/>
      <protection locked="0"/>
    </xf>
    <xf numFmtId="0" fontId="4" fillId="0" borderId="13" xfId="9" applyNumberFormat="1" applyBorder="1" applyAlignment="1">
      <alignment horizontal="center"/>
    </xf>
    <xf numFmtId="0" fontId="4" fillId="0" borderId="0" xfId="9" applyNumberFormat="1" applyBorder="1" applyAlignment="1">
      <alignment horizontal="center"/>
    </xf>
    <xf numFmtId="0" fontId="0" fillId="13" borderId="4" xfId="0" applyFill="1" applyBorder="1"/>
    <xf numFmtId="0" fontId="0" fillId="13" borderId="0" xfId="0" quotePrefix="1" applyFill="1"/>
    <xf numFmtId="9" fontId="0" fillId="13" borderId="0" xfId="0" applyNumberFormat="1" applyFill="1" applyAlignment="1">
      <alignment horizontal="center"/>
    </xf>
    <xf numFmtId="0" fontId="15" fillId="12" borderId="0" xfId="0" applyFont="1" applyFill="1" applyAlignment="1">
      <alignment horizontal="left" indent="29"/>
    </xf>
    <xf numFmtId="0" fontId="22" fillId="12" borderId="0" xfId="0" applyFont="1" applyFill="1" applyAlignment="1">
      <alignment horizontal="left" indent="29"/>
    </xf>
    <xf numFmtId="9" fontId="5" fillId="0" borderId="8" xfId="5" applyNumberFormat="1" applyBorder="1" applyAlignment="1">
      <alignment horizontal="right"/>
      <protection locked="0"/>
    </xf>
    <xf numFmtId="9" fontId="5" fillId="0" borderId="7" xfId="5" applyNumberFormat="1" applyBorder="1" applyAlignment="1">
      <alignment horizontal="right"/>
      <protection locked="0"/>
    </xf>
    <xf numFmtId="0" fontId="0" fillId="13" borderId="4" xfId="0" quotePrefix="1" applyFill="1" applyBorder="1" applyAlignment="1">
      <alignment horizontal="center"/>
    </xf>
    <xf numFmtId="3" fontId="5" fillId="0" borderId="7" xfId="5" applyNumberFormat="1" applyBorder="1" applyAlignment="1">
      <alignment horizontal="center"/>
      <protection locked="0"/>
    </xf>
    <xf numFmtId="3" fontId="4" fillId="0" borderId="0" xfId="9" applyNumberFormat="1" applyAlignment="1">
      <alignment horizontal="center"/>
    </xf>
    <xf numFmtId="0" fontId="0" fillId="0" borderId="10" xfId="0" applyBorder="1" applyAlignment="1">
      <alignment horizontal="left" wrapText="1"/>
    </xf>
    <xf numFmtId="3" fontId="5" fillId="0" borderId="7" xfId="5" applyNumberFormat="1" applyBorder="1" applyAlignment="1">
      <alignment horizontal="left"/>
      <protection locked="0"/>
    </xf>
    <xf numFmtId="0" fontId="24" fillId="2" borderId="9" xfId="13" applyFont="1" applyBorder="1" applyAlignment="1">
      <alignment horizontal="left" wrapText="1"/>
    </xf>
    <xf numFmtId="3" fontId="4" fillId="0" borderId="0" xfId="9" applyNumberFormat="1" applyAlignment="1">
      <alignment horizontal="left"/>
    </xf>
    <xf numFmtId="164" fontId="0" fillId="0" borderId="0" xfId="0" applyNumberFormat="1" applyAlignment="1">
      <alignment horizontal="right"/>
    </xf>
    <xf numFmtId="0" fontId="5" fillId="0" borderId="8" xfId="5" applyNumberFormat="1" applyBorder="1" applyAlignment="1">
      <alignment horizontal="left"/>
      <protection locked="0"/>
    </xf>
    <xf numFmtId="0" fontId="5" fillId="0" borderId="7" xfId="5" applyNumberFormat="1" applyBorder="1" applyAlignment="1">
      <alignment horizontal="left"/>
      <protection locked="0"/>
    </xf>
    <xf numFmtId="0" fontId="15" fillId="12" borderId="0" xfId="0" applyFont="1" applyFill="1" applyAlignment="1">
      <alignment horizontal="left" indent="27"/>
    </xf>
    <xf numFmtId="0" fontId="22" fillId="12" borderId="0" xfId="0" applyFont="1" applyFill="1" applyAlignment="1">
      <alignment horizontal="left" indent="27"/>
    </xf>
    <xf numFmtId="0" fontId="0" fillId="13" borderId="0" xfId="0" applyFill="1" applyAlignment="1">
      <alignment horizontal="left"/>
    </xf>
    <xf numFmtId="0" fontId="15" fillId="12" borderId="0" xfId="0" applyFont="1" applyFill="1" applyAlignment="1">
      <alignment horizontal="left" indent="33"/>
    </xf>
    <xf numFmtId="0" fontId="22" fillId="12" borderId="0" xfId="0" applyFont="1" applyFill="1" applyAlignment="1">
      <alignment horizontal="left" indent="33"/>
    </xf>
    <xf numFmtId="0" fontId="15" fillId="12" borderId="0" xfId="0" applyFont="1" applyFill="1" applyAlignment="1">
      <alignment horizontal="left" indent="24"/>
    </xf>
    <xf numFmtId="0" fontId="22" fillId="12" borderId="0" xfId="0" applyFont="1" applyFill="1" applyAlignment="1">
      <alignment horizontal="left" indent="24"/>
    </xf>
    <xf numFmtId="0" fontId="23" fillId="13" borderId="3" xfId="0" applyFont="1" applyFill="1" applyBorder="1"/>
    <xf numFmtId="0" fontId="15" fillId="12" borderId="0" xfId="0" applyFont="1" applyFill="1" applyAlignment="1">
      <alignment horizontal="left" indent="31"/>
    </xf>
    <xf numFmtId="0" fontId="22" fillId="12" borderId="0" xfId="0" applyFont="1" applyFill="1" applyAlignment="1">
      <alignment horizontal="left" indent="31"/>
    </xf>
    <xf numFmtId="164" fontId="5" fillId="0" borderId="8" xfId="5" applyNumberFormat="1" applyBorder="1" applyAlignment="1">
      <alignment horizontal="right"/>
      <protection locked="0"/>
    </xf>
    <xf numFmtId="164" fontId="5" fillId="0" borderId="7" xfId="5" applyNumberFormat="1" applyBorder="1" applyAlignment="1">
      <alignment horizontal="right"/>
      <protection locked="0"/>
    </xf>
    <xf numFmtId="164" fontId="4" fillId="0" borderId="0" xfId="9" applyNumberFormat="1" applyAlignment="1"/>
    <xf numFmtId="0" fontId="15" fillId="12" borderId="0" xfId="0" applyFont="1" applyFill="1" applyAlignment="1">
      <alignment horizontal="left"/>
    </xf>
    <xf numFmtId="0" fontId="22" fillId="12" borderId="0" xfId="0" applyFont="1" applyFill="1" applyAlignment="1">
      <alignment horizontal="left"/>
    </xf>
    <xf numFmtId="14" fontId="0" fillId="12" borderId="0" xfId="0" applyNumberFormat="1" applyFill="1"/>
    <xf numFmtId="167" fontId="0" fillId="13" borderId="4" xfId="0" applyNumberFormat="1" applyFill="1" applyBorder="1" applyAlignment="1">
      <alignment horizontal="left"/>
    </xf>
    <xf numFmtId="164" fontId="5" fillId="0" borderId="8" xfId="5" applyNumberFormat="1" applyBorder="1" applyAlignment="1">
      <alignment horizontal="left"/>
      <protection locked="0"/>
    </xf>
    <xf numFmtId="164" fontId="5" fillId="0" borderId="7" xfId="5" applyNumberFormat="1" applyBorder="1" applyAlignment="1">
      <alignment horizontal="left"/>
      <protection locked="0"/>
    </xf>
    <xf numFmtId="164" fontId="4" fillId="0" borderId="0" xfId="9" applyNumberFormat="1" applyAlignment="1">
      <alignment horizontal="left"/>
    </xf>
    <xf numFmtId="0" fontId="5" fillId="0" borderId="8" xfId="5" applyNumberFormat="1" applyBorder="1" applyAlignment="1">
      <alignment horizontal="center"/>
      <protection locked="0"/>
    </xf>
    <xf numFmtId="0" fontId="5" fillId="0" borderId="7" xfId="5" applyNumberFormat="1" applyBorder="1" applyAlignment="1">
      <alignment horizontal="center"/>
      <protection locked="0"/>
    </xf>
    <xf numFmtId="167" fontId="0" fillId="13" borderId="4" xfId="0" applyNumberFormat="1" applyFill="1" applyBorder="1" applyAlignment="1">
      <alignment horizontal="center"/>
    </xf>
    <xf numFmtId="0" fontId="4" fillId="0" borderId="0" xfId="9" applyNumberFormat="1" applyAlignment="1">
      <alignment horizontal="center"/>
    </xf>
  </cellXfs>
  <cellStyles count="21">
    <cellStyle name="01 Header" xfId="14" xr:uid="{30B51DA1-627F-40A8-8F04-14909C790760}"/>
    <cellStyle name="02 Header" xfId="15" xr:uid="{0693564A-A4A3-45CC-A916-2C9B4FEA7E50}"/>
    <cellStyle name="03 Header" xfId="16" xr:uid="{E2C48963-A0D7-40C8-B619-DA77E3F7A964}"/>
    <cellStyle name="04 Header" xfId="17" xr:uid="{D0A7BD09-B5A6-46E7-899A-AA9A18E90644}"/>
    <cellStyle name="05 Header" xfId="18" xr:uid="{DDE607E3-CE6C-4B5B-929C-1952CADEFC26}"/>
    <cellStyle name="06 Header" xfId="19" xr:uid="{F6E9D2EA-3A69-4A2B-8803-6E63D556B9C7}"/>
    <cellStyle name="Backend Calculation" xfId="8" xr:uid="{00000000-0005-0000-0000-000000000000}"/>
    <cellStyle name="Backend Header" xfId="13" xr:uid="{00000000-0005-0000-0000-000001000000}"/>
    <cellStyle name="Bad" xfId="3" builtinId="27" customBuiltin="1"/>
    <cellStyle name="Calculation" xfId="6" builtinId="22" customBuiltin="1"/>
    <cellStyle name="Explanatory Text" xfId="20" builtinId="53"/>
    <cellStyle name="Good" xfId="2" builtinId="26" customBuiltin="1"/>
    <cellStyle name="Highlight Difference" xfId="9" xr:uid="{00000000-0005-0000-0000-00000B000000}"/>
    <cellStyle name="Input" xfId="5" builtinId="20" customBuiltin="1"/>
    <cellStyle name="Linked Cell" xfId="7" builtinId="24" customBuiltin="1"/>
    <cellStyle name="Neutral" xfId="4" builtinId="28" customBuiltin="1"/>
    <cellStyle name="Normal" xfId="0" builtinId="0"/>
    <cellStyle name="Percent" xfId="1" builtinId="5" customBuiltin="1"/>
    <cellStyle name="Reminder" xfId="10" xr:uid="{00000000-0005-0000-0000-000011000000}"/>
    <cellStyle name="Total Calculation" xfId="11" xr:uid="{00000000-0005-0000-0000-000012000000}"/>
    <cellStyle name="Total Input" xfId="12" xr:uid="{00000000-0005-0000-0000-000013000000}"/>
  </cellStyles>
  <dxfs count="364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border>
        <bottom style="thin">
          <color indexed="64"/>
        </bottom>
      </border>
    </dxf>
    <dxf>
      <alignment horizontal="center" vertical="bottom" textRotation="0" wrapText="1" indent="0" justifyLastLine="0" shrinkToFit="0" readingOrder="0"/>
    </dxf>
    <dxf>
      <border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indent="0" justifyLastLine="0" shrinkToFit="0" readingOrder="0"/>
    </dxf>
    <dxf>
      <border>
        <bottom style="thin">
          <color indexed="64"/>
        </bottom>
      </border>
    </dxf>
    <dxf>
      <alignment horizontal="center" vertical="bottom" textRotation="0" wrapText="1" indent="0" justifyLastLine="0" shrinkToFit="0" readingOrder="0"/>
    </dxf>
    <dxf>
      <numFmt numFmtId="164" formatCode="&quot;$&quot;#,##0"/>
      <alignment horizontal="left" vertical="bottom" textRotation="0" wrapText="0" indent="0" justifyLastLine="0" shrinkToFit="0" readingOrder="0"/>
      <border>
        <right style="thin">
          <color indexed="64"/>
        </right>
      </border>
    </dxf>
    <dxf>
      <numFmt numFmtId="0" formatCode="General"/>
      <alignment horizontal="center" vertical="bottom" textRotation="0" wrapText="0" indent="0" justifyLastLine="0" shrinkToFit="0" readingOrder="0"/>
      <border outline="0">
        <left style="thin">
          <color theme="0" tint="-0.34998626667073579"/>
        </left>
        <right/>
      </border>
    </dxf>
    <dxf>
      <numFmt numFmtId="164" formatCode="&quot;$&quot;#,##0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outline="0">
        <right style="thin">
          <color indexed="64"/>
        </right>
      </border>
    </dxf>
    <dxf>
      <numFmt numFmtId="0" formatCode="General"/>
      <alignment horizontal="center" vertical="bottom" textRotation="0" indent="0" justifyLastLine="0" shrinkToFit="0" readingOrder="0"/>
      <border outline="0">
        <left style="thin">
          <color theme="0" tint="-0.34998626667073579"/>
        </left>
        <right/>
      </border>
    </dxf>
    <dxf>
      <numFmt numFmtId="0" formatCode="General"/>
      <alignment horizontal="center" vertical="bottom" textRotation="0" indent="0" justifyLastLine="0" shrinkToFit="0" readingOrder="0"/>
    </dxf>
    <dxf>
      <numFmt numFmtId="0" formatCode="General"/>
      <alignment horizontal="left" vertical="bottom" textRotation="0" indent="0" justifyLastLine="0" shrinkToFit="0" readingOrder="0"/>
      <border outline="0">
        <right style="thin">
          <color indexed="64"/>
        </right>
      </border>
    </dxf>
    <dxf>
      <numFmt numFmtId="0" formatCode="General"/>
      <border outline="0">
        <left style="thin">
          <color theme="0" tint="-0.34998626667073579"/>
        </left>
        <right/>
      </border>
    </dxf>
    <dxf>
      <numFmt numFmtId="0" formatCode="General"/>
      <alignment horizontal="left" vertical="bottom" textRotation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  <border outline="0">
        <right style="thin">
          <color indexed="64"/>
        </right>
      </border>
    </dxf>
    <dxf>
      <font>
        <i/>
      </font>
      <numFmt numFmtId="0" formatCode="General"/>
      <alignment horizontal="center" vertical="bottom" textRotation="0" wrapText="0" indent="0" justifyLastLine="0" shrinkToFit="0" readingOrder="0"/>
      <border outline="0">
        <left style="thin">
          <color theme="0" tint="-0.34998626667073579"/>
        </left>
        <right/>
      </border>
    </dxf>
    <dxf>
      <numFmt numFmtId="0" formatCode="General"/>
      <alignment horizontal="center" vertical="bottom" textRotation="0" indent="0" justifyLastLine="0" shrinkToFit="0" readingOrder="0"/>
    </dxf>
    <dxf>
      <numFmt numFmtId="164" formatCode="&quot;$&quot;#,##0"/>
      <alignment horizontal="left" vertical="bottom" textRotation="0" indent="0" justifyLastLine="0" shrinkToFit="0" readingOrder="0"/>
      <border outline="0">
        <right style="thin">
          <color indexed="64"/>
        </right>
      </border>
    </dxf>
    <dxf>
      <font>
        <i/>
      </font>
      <numFmt numFmtId="0" formatCode="General"/>
      <alignment horizontal="center" vertical="bottom" textRotation="0" indent="0" justifyLastLine="0" shrinkToFit="0" readingOrder="0"/>
      <border outline="0">
        <left style="thin">
          <color theme="0" tint="-0.34998626667073579"/>
        </left>
        <right/>
      </border>
    </dxf>
    <dxf>
      <numFmt numFmtId="164" formatCode="&quot;$&quot;#,##0"/>
      <alignment horizontal="left" vertical="bottom" textRotation="0" wrapText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numFmt numFmtId="165" formatCode="mm/dd/yy;@"/>
      <alignment horizontal="left" vertical="bottom" textRotation="0" wrapText="0" indent="0" justifyLastLine="0" shrinkToFit="0" readingOrder="0"/>
    </dxf>
    <dxf>
      <numFmt numFmtId="165" formatCode="mm/dd/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general" vertical="bottom" textRotation="0" wrapText="1" indent="0" justifyLastLine="0" shrinkToFit="0" readingOrder="0"/>
    </dxf>
    <dxf>
      <numFmt numFmtId="165" formatCode="mm/dd/yy;@"/>
      <alignment horizontal="left" vertical="bottom" textRotation="0" wrapText="0" indent="0" justifyLastLine="0" shrinkToFit="0" readingOrder="0"/>
      <border>
        <right style="thin">
          <color indexed="64"/>
        </right>
      </border>
    </dxf>
    <dxf>
      <font>
        <i/>
      </font>
      <numFmt numFmtId="0" formatCode="General"/>
      <alignment horizontal="center" vertical="bottom" textRotation="0" wrapText="0" indent="0" justifyLastLine="0" shrinkToFit="0" readingOrder="0"/>
    </dxf>
    <dxf>
      <numFmt numFmtId="165" formatCode="mm/dd/yy;@"/>
      <alignment horizontal="left" vertical="bottom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  <border>
        <right style="thin">
          <color indexed="64"/>
        </right>
      </border>
    </dxf>
    <dxf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outline="0">
        <left style="thin">
          <color theme="0" tint="-0.34998626667073579"/>
        </left>
        <right/>
      </border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  <border>
        <right style="thin">
          <color indexed="64"/>
        </right>
      </border>
    </dxf>
    <dxf>
      <numFmt numFmtId="0" formatCode="General"/>
      <alignment horizontal="center" vertical="bottom" textRotation="0" wrapText="0" indent="0" justifyLastLine="0" shrinkToFit="0" readingOrder="0"/>
      <border outline="0">
        <left style="thin">
          <color theme="0" tint="-0.34998626667073579"/>
        </left>
        <right/>
      </border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  <border>
        <right style="thin">
          <color indexed="64"/>
        </right>
      </border>
    </dxf>
    <dxf>
      <numFmt numFmtId="0" formatCode="General"/>
      <alignment horizontal="center" vertical="bottom" textRotation="0" indent="0" justifyLastLine="0" shrinkToFit="0" readingOrder="0"/>
      <border outline="0">
        <left style="thin">
          <color theme="0" tint="-0.34998626667073579"/>
        </left>
        <right/>
      </border>
    </dxf>
    <dxf>
      <numFmt numFmtId="0" formatCode="General"/>
      <alignment horizontal="left" vertical="bottom" textRotation="0" indent="0" justifyLastLine="0" shrinkToFit="0" readingOrder="0"/>
    </dxf>
    <dxf>
      <numFmt numFmtId="0" formatCode="General"/>
      <alignment horizontal="left" vertical="bottom" textRotation="0" indent="0" justifyLastLine="0" shrinkToFit="0" readingOrder="0"/>
      <border>
        <right style="thin">
          <color indexed="64"/>
        </right>
      </border>
    </dxf>
    <dxf>
      <numFmt numFmtId="0" formatCode="General"/>
      <border outline="0">
        <left style="thin">
          <color theme="0" tint="-0.34998626667073579"/>
        </left>
        <right/>
      </border>
    </dxf>
    <dxf>
      <numFmt numFmtId="0" formatCode="General"/>
      <alignment horizontal="left" vertical="bottom" textRotation="0" indent="0" justifyLastLine="0" shrinkToFit="0" readingOrder="0"/>
    </dxf>
    <dxf>
      <numFmt numFmtId="0" formatCode="General"/>
      <alignment horizontal="left" vertical="bottom" textRotation="0" indent="0" justifyLastLine="0" shrinkToFit="0" readingOrder="0"/>
      <border>
        <right style="thin">
          <color indexed="64"/>
        </right>
      </border>
    </dxf>
    <dxf>
      <font>
        <i/>
      </font>
      <numFmt numFmtId="0" formatCode="General"/>
      <alignment horizontal="center" vertical="bottom" textRotation="0" wrapText="0" indent="0" justifyLastLine="0" shrinkToFit="0" readingOrder="0"/>
      <border outline="0">
        <left style="thin">
          <color theme="0" tint="-0.34998626667073579"/>
        </left>
        <right/>
      </border>
    </dxf>
    <dxf>
      <numFmt numFmtId="0" formatCode="General"/>
      <alignment horizontal="left" vertical="bottom" textRotation="0" indent="0" justifyLastLine="0" shrinkToFit="0" readingOrder="0"/>
    </dxf>
    <dxf>
      <numFmt numFmtId="0" formatCode="General"/>
      <alignment horizontal="left" vertical="bottom" textRotation="0" indent="0" justifyLastLine="0" shrinkToFit="0" readingOrder="0"/>
      <border>
        <right style="thin">
          <color indexed="64"/>
        </right>
      </border>
    </dxf>
    <dxf>
      <font>
        <i/>
      </font>
      <numFmt numFmtId="0" formatCode="General"/>
      <alignment horizontal="center" vertical="bottom" textRotation="0" indent="0" justifyLastLine="0" shrinkToFit="0" readingOrder="0"/>
      <border outline="0">
        <left style="thin">
          <color theme="0" tint="-0.34998626667073579"/>
        </left>
        <right/>
      </border>
    </dxf>
    <dxf>
      <numFmt numFmtId="0" formatCode="General"/>
      <alignment horizontal="left" vertical="bottom" textRotation="0" wrapText="0" indent="0" justifyLastLine="0" shrinkToFit="0" readingOrder="0"/>
    </dxf>
    <dxf>
      <numFmt numFmtId="165" formatCode="mm/dd/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outline="0">
        <right style="thin">
          <color indexed="64"/>
        </right>
      </border>
    </dxf>
    <dxf>
      <numFmt numFmtId="165" formatCode="mm/dd/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general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65" formatCode="mm/dd/yy;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</dxf>
    <dxf>
      <alignment horizontal="left" vertical="bottom" textRotation="0" wrapText="0" indent="0" justifyLastLine="0" shrinkToFit="0" readingOrder="0"/>
    </dxf>
    <dxf>
      <numFmt numFmtId="165" formatCode="mm/dd/yy;@"/>
      <alignment horizontal="left" vertical="bottom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indent="0" justifyLastLine="0" shrinkToFit="0" readingOrder="0"/>
      <border>
        <left/>
        <right style="thin">
          <color indexed="64"/>
        </right>
      </border>
    </dxf>
    <dxf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i/>
      </font>
      <numFmt numFmtId="0" formatCode="General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indent="0" justifyLastLine="0" shrinkToFit="0" readingOrder="0"/>
    </dxf>
    <dxf>
      <numFmt numFmtId="0" formatCode="General"/>
      <alignment horizontal="left" vertical="bottom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i/>
      </font>
      <numFmt numFmtId="0" formatCode="General"/>
      <alignment horizontal="center" vertical="bottom" textRotation="0" indent="0" justifyLastLine="0" shrinkToFit="0" readingOrder="0"/>
      <border outline="0">
        <left style="thin">
          <color theme="0" tint="-0.34998626667073579"/>
        </left>
        <right/>
      </border>
    </dxf>
    <dxf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</border>
    </dxf>
    <dxf>
      <alignment horizontal="left" vertical="bottom" textRotation="0" wrapText="0" indent="0" justifyLastLine="0" shrinkToFit="0" readingOrder="0"/>
    </dxf>
    <dxf>
      <numFmt numFmtId="165" formatCode="mm/dd/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outline="0">
        <right style="thin">
          <color theme="0" tint="-0.34998626667073579"/>
        </right>
      </border>
    </dxf>
    <dxf>
      <alignment horizontal="left" vertical="bottom" textRotation="0" wrapText="0" indent="0" justifyLastLine="0" shrinkToFit="0" readingOrder="0"/>
    </dxf>
    <dxf>
      <numFmt numFmtId="165" formatCode="mm/dd/yy;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general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indent="0" justifyLastLine="0" shrinkToFit="0" readingOrder="0"/>
      <border>
        <right style="thin">
          <color indexed="64"/>
        </right>
      </border>
    </dxf>
    <dxf>
      <alignment horizontal="left" vertical="bottom" textRotation="0" wrapText="0" indent="0" justifyLastLine="0" shrinkToFit="0" readingOrder="0"/>
    </dxf>
    <dxf>
      <font>
        <i/>
      </font>
      <numFmt numFmtId="0" formatCode="General"/>
      <alignment horizontal="center" vertical="bottom" textRotation="0" wrapText="0" indent="0" justifyLastLine="0" shrinkToFit="0" readingOrder="0"/>
      <border outline="0">
        <left style="thin">
          <color theme="0" tint="-0.34998626667073579"/>
        </left>
        <right/>
      </border>
    </dxf>
    <dxf>
      <numFmt numFmtId="0" formatCode="General"/>
      <alignment horizontal="left" vertical="bottom" textRotation="0" indent="0" justifyLastLine="0" shrinkToFit="0" readingOrder="0"/>
    </dxf>
    <dxf>
      <numFmt numFmtId="0" formatCode="General"/>
      <alignment horizontal="left" vertical="bottom" textRotation="0" indent="0" justifyLastLine="0" shrinkToFit="0" readingOrder="0"/>
      <border>
        <right style="thin">
          <color indexed="64"/>
        </right>
      </border>
    </dxf>
    <dxf>
      <alignment horizontal="left" vertical="bottom" textRotation="0" wrapText="0" indent="0" justifyLastLine="0" shrinkToFit="0" readingOrder="0"/>
    </dxf>
    <dxf>
      <font>
        <i/>
      </font>
      <numFmt numFmtId="0" formatCode="General"/>
      <alignment horizontal="center" vertical="bottom" textRotation="0" indent="0" justifyLastLine="0" shrinkToFit="0" readingOrder="0"/>
      <border outline="0">
        <left style="thin">
          <color theme="0" tint="-0.34998626667073579"/>
        </left>
        <right/>
      </border>
    </dxf>
    <dxf>
      <numFmt numFmtId="0" formatCode="General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65" formatCode="mm/dd/yy;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outline="0">
        <right style="thin">
          <color indexed="64"/>
        </right>
      </border>
    </dxf>
    <dxf>
      <alignment horizontal="left" vertical="bottom" textRotation="0" wrapText="0" indent="0" justifyLastLine="0" shrinkToFit="0" readingOrder="0"/>
    </dxf>
    <dxf>
      <numFmt numFmtId="165" formatCode="mm/dd/yy;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general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" formatCode="#,##0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i/>
      </font>
      <numFmt numFmtId="0" formatCode="General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" formatCode="#,##0"/>
      <alignment horizontal="left" vertical="bottom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alignment horizontal="left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>
        <right style="thin">
          <color indexed="64"/>
        </right>
      </border>
    </dxf>
    <dxf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outline="0">
        <left style="thin">
          <color theme="0" tint="-0.34998626667073579"/>
        </left>
        <right/>
      </border>
    </dxf>
    <dxf>
      <alignment horizontal="left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>
        <right style="thin">
          <color indexed="64"/>
        </right>
      </border>
    </dxf>
    <dxf>
      <alignment horizontal="left" vertical="bottom" textRotation="0" wrapText="0" indent="0" justifyLastLine="0" shrinkToFit="0" readingOrder="0"/>
    </dxf>
    <dxf>
      <numFmt numFmtId="0" formatCode="General"/>
      <border outline="0">
        <left style="thin">
          <color theme="0" tint="-0.34998626667073579"/>
        </left>
        <right/>
      </border>
    </dxf>
    <dxf>
      <alignment horizontal="left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border>
        <right style="thin">
          <color indexed="64"/>
        </right>
      </border>
    </dxf>
    <dxf>
      <alignment horizontal="left" vertical="bottom" textRotation="0" wrapText="0" indent="0" justifyLastLine="0" shrinkToFit="0" readingOrder="0"/>
    </dxf>
    <dxf>
      <numFmt numFmtId="0" formatCode="General"/>
    </dxf>
    <dxf>
      <alignment horizontal="left" vertical="bottom" textRotation="0" wrapText="0" indent="0" justifyLastLine="0" shrinkToFit="0" readingOrder="0"/>
    </dxf>
    <dxf>
      <numFmt numFmtId="3" formatCode="#,##0"/>
      <alignment horizontal="center" vertical="bottom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64" formatCode="&quot;$&quot;#,##0"/>
      <border outline="0">
        <right style="thin">
          <color indexed="64"/>
        </right>
      </border>
    </dxf>
    <dxf>
      <alignment horizontal="left" vertical="bottom" textRotation="0" wrapText="0" indent="0" justifyLastLine="0" shrinkToFit="0" readingOrder="0"/>
    </dxf>
    <dxf>
      <font>
        <i/>
      </font>
      <numFmt numFmtId="0" formatCode="General"/>
      <alignment horizontal="center" vertical="bottom" textRotation="0" wrapText="0" indent="0" justifyLastLine="0" shrinkToFit="0" readingOrder="0"/>
      <border outline="0">
        <left style="thin">
          <color theme="0" tint="-0.34998626667073579"/>
        </left>
        <right/>
      </border>
    </dxf>
    <dxf>
      <numFmt numFmtId="164" formatCode="&quot;$&quot;#,##0"/>
      <alignment horizontal="right" vertical="bottom" textRotation="0" indent="0" justifyLastLine="0" shrinkToFit="0" readingOrder="0"/>
    </dxf>
    <dxf>
      <numFmt numFmtId="166" formatCode="&quot;$&quot;#,##0.00"/>
      <alignment horizontal="right" vertical="bottom" textRotation="0" indent="0" justifyLastLine="0" shrinkToFit="0" readingOrder="0"/>
      <border outline="0">
        <right style="thin">
          <color indexed="64"/>
        </right>
      </border>
    </dxf>
    <dxf>
      <alignment horizontal="left" vertical="bottom" textRotation="0" wrapText="0" indent="0" justifyLastLine="0" shrinkToFit="0" readingOrder="0"/>
    </dxf>
    <dxf>
      <font>
        <i/>
      </font>
      <numFmt numFmtId="0" formatCode="General"/>
      <alignment horizontal="center" vertical="bottom" textRotation="0" indent="0" justifyLastLine="0" shrinkToFit="0" readingOrder="0"/>
      <border outline="0">
        <left style="thin">
          <color theme="0" tint="-0.34998626667073579"/>
        </left>
        <right/>
      </border>
    </dxf>
    <dxf>
      <numFmt numFmtId="13" formatCode="0%"/>
      <alignment horizontal="right" vertical="bottom" textRotation="0" wrapText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outline="0">
        <left/>
        <right style="thin">
          <color indexed="64"/>
        </right>
      </border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65" formatCode="mm/dd/yy;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general" vertical="bottom" textRotation="0" wrapText="1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alignment horizontal="center" vertical="bottom" textRotation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i/>
      </font>
      <numFmt numFmtId="0" formatCode="General"/>
      <alignment horizontal="center" vertical="bottom" textRotation="0" indent="0" justifyLastLine="0" shrinkToFit="0" readingOrder="0"/>
      <border outline="0">
        <left style="thin">
          <color theme="0" tint="-0.34998626667073579"/>
        </left>
        <right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</border>
    </dxf>
    <dxf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general" vertical="bottom" textRotation="0" wrapText="1" indent="0" justifyLastLine="0" shrinkToFit="0" readingOrder="0"/>
    </dxf>
    <dxf>
      <alignment horizontal="left" vertical="bottom" textRotation="0" indent="0" justifyLastLine="0" shrinkToFit="0" readingOrder="0"/>
      <border outline="0">
        <right style="thin">
          <color indexed="64"/>
        </right>
      </border>
    </dxf>
    <dxf>
      <alignment horizontal="left" vertical="bottom" textRotation="0" wrapText="0" indent="0" justifyLastLine="0" shrinkToFit="0" readingOrder="0"/>
    </dxf>
    <dxf>
      <font>
        <i/>
      </font>
      <numFmt numFmtId="0" formatCode="General"/>
      <alignment horizontal="center" vertical="bottom" textRotation="0" indent="0" justifyLastLine="0" shrinkToFit="0" readingOrder="0"/>
      <border>
        <left style="thin">
          <color theme="0" tint="-0.34998626667073579"/>
        </left>
        <right/>
      </border>
    </dxf>
    <dxf>
      <numFmt numFmtId="0" formatCode="General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/>
      </border>
    </dxf>
    <dxf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general" vertical="bottom" textRotation="0" wrapText="1" indent="0" justifyLastLine="0" shrinkToFit="0" readingOrder="0"/>
    </dxf>
    <dxf>
      <fill>
        <patternFill patternType="solid">
          <fgColor theme="0" tint="-0.1498458815271462"/>
          <bgColor rgb="FFFFDCFF"/>
        </patternFill>
      </fill>
    </dxf>
    <dxf>
      <fill>
        <patternFill patternType="solid">
          <fgColor theme="0" tint="-0.1498458815271462"/>
          <bgColor rgb="FFFFDCFF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0691854609822"/>
          <bgColor rgb="FFA9E5D4"/>
        </patternFill>
      </fill>
    </dxf>
    <dxf>
      <fill>
        <patternFill patternType="solid">
          <fgColor theme="0" tint="-0.14990691854609822"/>
          <bgColor rgb="FFA9E5D4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3743705557422"/>
          <bgColor rgb="FFFFFFC8"/>
        </patternFill>
      </fill>
    </dxf>
    <dxf>
      <fill>
        <patternFill patternType="solid">
          <fgColor theme="0" tint="-0.14993743705557422"/>
          <bgColor rgb="FFFFFFC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3743705557422"/>
          <bgColor rgb="FFE8D3AC"/>
        </patternFill>
      </fill>
    </dxf>
    <dxf>
      <fill>
        <patternFill patternType="solid">
          <fgColor theme="0" tint="-0.14993743705557422"/>
          <bgColor rgb="FFE8D3AC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0691854609822"/>
          <bgColor rgb="FFF9CAD8"/>
        </patternFill>
      </fill>
    </dxf>
    <dxf>
      <fill>
        <patternFill patternType="solid">
          <fgColor theme="0" tint="-0.14990691854609822"/>
          <bgColor rgb="FFF9CAD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0691854609822"/>
          <bgColor rgb="FFF6EC9C"/>
        </patternFill>
      </fill>
    </dxf>
    <dxf>
      <fill>
        <patternFill patternType="solid">
          <fgColor theme="0" tint="-0.14990691854609822"/>
          <bgColor rgb="FFF6EC9C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6795556505021"/>
          <bgColor theme="2" tint="-9.9948118533890809E-2"/>
        </patternFill>
      </fill>
    </dxf>
    <dxf>
      <fill>
        <patternFill patternType="solid">
          <fgColor theme="0" tint="-0.14996795556505021"/>
          <bgColor theme="2" tint="-9.9948118533890809E-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i val="0"/>
        <color auto="1"/>
      </font>
      <fill>
        <patternFill patternType="none">
          <bgColor auto="1"/>
        </patternFill>
      </fill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i val="0"/>
        <color auto="1"/>
      </font>
      <border>
        <top style="thin">
          <color theme="9"/>
        </top>
      </border>
    </dxf>
    <dxf>
      <font>
        <b/>
        <i val="0"/>
        <color auto="1"/>
      </font>
      <border>
        <top/>
        <bottom style="thin">
          <color theme="9"/>
        </bottom>
      </border>
    </dxf>
    <dxf>
      <font>
        <b val="0"/>
        <i val="0"/>
        <color auto="1"/>
      </font>
      <border>
        <top style="thin">
          <color theme="9"/>
        </top>
        <bottom style="thin">
          <color theme="9"/>
        </bottom>
      </border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color theme="8" tint="-0.249977111117893"/>
      </font>
    </dxf>
    <dxf>
      <font>
        <b/>
        <color theme="8" tint="-0.249977111117893"/>
      </font>
    </dxf>
    <dxf>
      <font>
        <b/>
        <i val="0"/>
        <color auto="1"/>
      </font>
      <border>
        <top style="thin">
          <color theme="8"/>
        </top>
      </border>
    </dxf>
    <dxf>
      <font>
        <b/>
        <i val="0"/>
        <color auto="1"/>
      </font>
      <border>
        <top/>
        <bottom style="thin">
          <color theme="8"/>
        </bottom>
      </border>
    </dxf>
    <dxf>
      <font>
        <color auto="1"/>
      </font>
      <border>
        <top style="thin">
          <color theme="8"/>
        </top>
        <bottom style="thin">
          <color theme="8"/>
        </bottom>
      </border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ont>
        <b/>
        <color theme="7" tint="-0.249977111117893"/>
      </font>
    </dxf>
    <dxf>
      <font>
        <b/>
        <color theme="7" tint="-0.249977111117893"/>
      </font>
    </dxf>
    <dxf>
      <font>
        <b/>
        <i val="0"/>
        <color auto="1"/>
      </font>
      <border>
        <top style="thin">
          <color theme="7"/>
        </top>
      </border>
    </dxf>
    <dxf>
      <font>
        <b/>
        <i val="0"/>
        <color auto="1"/>
      </font>
      <border>
        <top/>
        <bottom style="thin">
          <color theme="7"/>
        </bottom>
      </border>
    </dxf>
    <dxf>
      <font>
        <b val="0"/>
        <i val="0"/>
        <color auto="1"/>
      </font>
      <border>
        <top style="thin">
          <color theme="7"/>
        </top>
        <bottom style="thin">
          <color theme="7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i val="0"/>
        <color auto="1"/>
      </font>
      <border>
        <top style="thin">
          <color theme="6"/>
        </top>
      </border>
    </dxf>
    <dxf>
      <font>
        <b/>
        <i val="0"/>
        <color auto="1"/>
      </font>
      <border>
        <top/>
        <bottom style="thin">
          <color theme="6"/>
        </bottom>
      </border>
    </dxf>
    <dxf>
      <font>
        <color auto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5" tint="0.79998168889431442"/>
          <bgColor theme="5" tint="0.79998168889431442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color theme="5" tint="-0.249977111117893"/>
      </font>
    </dxf>
    <dxf>
      <font>
        <b/>
        <color theme="5" tint="-0.249977111117893"/>
      </font>
    </dxf>
    <dxf>
      <font>
        <b/>
        <i val="0"/>
        <color auto="1"/>
      </font>
      <border>
        <top style="thin">
          <color theme="5"/>
        </top>
      </border>
    </dxf>
    <dxf>
      <font>
        <b/>
        <i val="0"/>
        <color auto="1"/>
      </font>
      <border>
        <top/>
        <bottom style="thin">
          <color theme="5"/>
        </bottom>
      </border>
    </dxf>
    <dxf>
      <font>
        <color auto="1"/>
      </font>
      <border>
        <top style="thin">
          <color theme="5"/>
        </top>
        <bottom style="thin">
          <color theme="5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i val="0"/>
        <color auto="1"/>
      </font>
      <border>
        <top style="thin">
          <color theme="4"/>
        </top>
      </border>
    </dxf>
    <dxf>
      <font>
        <b/>
        <i val="0"/>
        <color auto="1"/>
      </font>
      <border>
        <top/>
        <bottom style="thin">
          <color theme="4"/>
        </bottom>
      </border>
    </dxf>
    <dxf>
      <font>
        <color auto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0" tint="-0.14996795556505021"/>
          <bgColor theme="2" tint="-9.9948118533890809E-2"/>
        </patternFill>
      </fill>
    </dxf>
    <dxf>
      <fill>
        <patternFill patternType="solid">
          <fgColor theme="0" tint="-0.14996795556505021"/>
          <bgColor theme="2" tint="-9.9948118533890809E-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i val="0"/>
        <color theme="0"/>
      </font>
      <fill>
        <patternFill>
          <bgColor theme="2" tint="-0.499984740745262"/>
        </patternFill>
      </fill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i val="0"/>
        <color theme="0"/>
      </font>
      <fill>
        <patternFill>
          <bgColor theme="9"/>
        </patternFill>
      </fill>
      <border>
        <top style="thin">
          <color theme="9"/>
        </top>
      </border>
    </dxf>
    <dxf>
      <font>
        <b/>
        <i val="0"/>
        <color theme="0"/>
      </font>
      <fill>
        <patternFill>
          <bgColor theme="9"/>
        </patternFill>
      </fill>
      <border>
        <top/>
        <bottom style="thin">
          <color theme="9"/>
        </bottom>
      </border>
    </dxf>
    <dxf>
      <font>
        <b val="0"/>
        <i val="0"/>
        <color auto="1"/>
      </font>
      <border>
        <top style="thin">
          <color theme="9"/>
        </top>
        <bottom style="thin">
          <color theme="9"/>
        </bottom>
      </border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theme="8" tint="0.79998168889431442"/>
          <bgColor theme="8" tint="0.79998168889431442"/>
        </patternFill>
      </fill>
    </dxf>
    <dxf>
      <font>
        <b/>
        <color theme="8" tint="-0.249977111117893"/>
      </font>
    </dxf>
    <dxf>
      <font>
        <b/>
        <color theme="8" tint="-0.249977111117893"/>
      </font>
    </dxf>
    <dxf>
      <font>
        <b/>
        <i val="0"/>
        <color theme="0"/>
      </font>
      <fill>
        <patternFill>
          <bgColor theme="8"/>
        </patternFill>
      </fill>
      <border>
        <top style="thin">
          <color theme="8"/>
        </top>
      </border>
    </dxf>
    <dxf>
      <font>
        <b/>
        <i val="0"/>
        <color theme="0"/>
      </font>
      <fill>
        <patternFill>
          <bgColor theme="8"/>
        </patternFill>
      </fill>
      <border>
        <top/>
        <bottom style="thin">
          <color theme="8"/>
        </bottom>
      </border>
    </dxf>
    <dxf>
      <font>
        <color auto="1"/>
      </font>
      <border>
        <top style="thin">
          <color theme="8"/>
        </top>
        <bottom style="thin">
          <color theme="8"/>
        </bottom>
      </border>
    </dxf>
    <dxf>
      <fill>
        <patternFill patternType="solid">
          <fgColor theme="7" tint="0.79998168889431442"/>
          <bgColor theme="7" tint="0.79998168889431442"/>
        </patternFill>
      </fill>
    </dxf>
    <dxf>
      <fill>
        <patternFill patternType="solid">
          <fgColor theme="7" tint="0.79998168889431442"/>
          <bgColor theme="7" tint="0.79998168889431442"/>
        </patternFill>
      </fill>
    </dxf>
    <dxf>
      <font>
        <b/>
        <color theme="7" tint="-0.249977111117893"/>
      </font>
    </dxf>
    <dxf>
      <font>
        <b/>
        <color theme="7" tint="-0.249977111117893"/>
      </font>
    </dxf>
    <dxf>
      <font>
        <b/>
        <i val="0"/>
        <color theme="0"/>
      </font>
      <fill>
        <patternFill>
          <bgColor theme="7"/>
        </patternFill>
      </fill>
      <border>
        <top style="thin">
          <color theme="7"/>
        </top>
      </border>
    </dxf>
    <dxf>
      <font>
        <b/>
        <i val="0"/>
        <color theme="0"/>
      </font>
      <fill>
        <patternFill>
          <bgColor theme="7"/>
        </patternFill>
      </fill>
      <border>
        <top/>
        <bottom style="thin">
          <color theme="7"/>
        </bottom>
      </border>
    </dxf>
    <dxf>
      <font>
        <b val="0"/>
        <i val="0"/>
        <color auto="1"/>
      </font>
      <border>
        <top style="thin">
          <color theme="7"/>
        </top>
        <bottom style="thin">
          <color theme="7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i val="0"/>
        <color theme="0"/>
      </font>
      <fill>
        <patternFill>
          <bgColor theme="6"/>
        </patternFill>
      </fill>
      <border>
        <top style="thin">
          <color theme="6"/>
        </top>
      </border>
    </dxf>
    <dxf>
      <font>
        <b/>
        <i val="0"/>
        <color theme="0"/>
      </font>
      <fill>
        <patternFill>
          <bgColor theme="6"/>
        </patternFill>
      </fill>
      <border>
        <top/>
        <bottom style="thin">
          <color theme="6"/>
        </bottom>
      </border>
    </dxf>
    <dxf>
      <font>
        <color auto="1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5" tint="0.79998168889431442"/>
          <bgColor theme="5" tint="0.79998168889431442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ont>
        <b/>
        <color theme="5" tint="-0.249977111117893"/>
      </font>
    </dxf>
    <dxf>
      <font>
        <b/>
        <color theme="5" tint="-0.249977111117893"/>
      </font>
    </dxf>
    <dxf>
      <font>
        <b/>
        <i val="0"/>
        <color theme="0"/>
      </font>
      <fill>
        <patternFill>
          <bgColor theme="5"/>
        </patternFill>
      </fill>
      <border>
        <top style="thin">
          <color theme="5"/>
        </top>
      </border>
    </dxf>
    <dxf>
      <font>
        <b/>
        <i val="0"/>
        <color theme="0"/>
      </font>
      <fill>
        <patternFill>
          <bgColor theme="5"/>
        </patternFill>
      </fill>
      <border>
        <top/>
        <bottom style="thin">
          <color theme="5"/>
        </bottom>
      </border>
    </dxf>
    <dxf>
      <font>
        <color auto="1"/>
      </font>
      <border>
        <top style="thin">
          <color theme="5"/>
        </top>
        <bottom style="thin">
          <color theme="5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i val="0"/>
        <color theme="0"/>
      </font>
      <fill>
        <patternFill>
          <bgColor theme="4"/>
        </patternFill>
      </fill>
      <border>
        <top style="thin">
          <color theme="4"/>
        </top>
      </border>
    </dxf>
    <dxf>
      <font>
        <b/>
        <i val="0"/>
        <color theme="0"/>
      </font>
      <fill>
        <patternFill>
          <bgColor theme="4"/>
        </patternFill>
      </fill>
      <border>
        <top/>
        <bottom style="thin">
          <color theme="4"/>
        </bottom>
      </border>
    </dxf>
    <dxf>
      <font>
        <color auto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</dxf>
    <dxf>
      <font>
        <b/>
        <i val="0"/>
        <color theme="0"/>
      </font>
      <fill>
        <patternFill>
          <bgColor theme="1"/>
        </patternFill>
      </fill>
      <border>
        <top style="thin">
          <color theme="1"/>
        </top>
      </border>
    </dxf>
    <dxf>
      <font>
        <b/>
        <i val="0"/>
        <color theme="0"/>
      </font>
      <fill>
        <patternFill>
          <bgColor theme="1"/>
        </patternFill>
      </fill>
      <border>
        <top/>
        <bottom style="thin">
          <color theme="1"/>
        </bottom>
      </border>
    </dxf>
    <dxf>
      <font>
        <b val="0"/>
        <i val="0"/>
        <color theme="1"/>
      </font>
      <border>
        <top style="thin">
          <color theme="1"/>
        </top>
        <bottom style="thin">
          <color theme="1"/>
        </bottom>
      </border>
    </dxf>
  </dxfs>
  <tableStyles count="22" defaultTableStyle="Shir Style 01 Gray" defaultPivotStyle="PivotStyleLight16">
    <tableStyle name="Excel Minimal 01 Gray" pivot="0" count="7" xr9:uid="{6759145B-E672-4B6B-911F-C85AA70ABB8C}">
      <tableStyleElement type="wholeTable" dxfId="363"/>
      <tableStyleElement type="headerRow" dxfId="362"/>
      <tableStyleElement type="totalRow" dxfId="361"/>
      <tableStyleElement type="firstColumn" dxfId="360"/>
      <tableStyleElement type="lastColumn" dxfId="359"/>
      <tableStyleElement type="firstRowStripe" dxfId="358"/>
      <tableStyleElement type="firstColumnStripe" dxfId="357"/>
    </tableStyle>
    <tableStyle name="Excel Minimal 02 Blue" pivot="0" count="7" xr9:uid="{AD831262-8318-42F8-BB6E-39D792DB3BC6}">
      <tableStyleElement type="wholeTable" dxfId="356"/>
      <tableStyleElement type="headerRow" dxfId="355"/>
      <tableStyleElement type="totalRow" dxfId="354"/>
      <tableStyleElement type="firstColumn" dxfId="353"/>
      <tableStyleElement type="lastColumn" dxfId="352"/>
      <tableStyleElement type="firstRowStripe" dxfId="351"/>
      <tableStyleElement type="firstColumnStripe" dxfId="350"/>
    </tableStyle>
    <tableStyle name="Excel Minimal 03 Red" pivot="0" count="7" xr9:uid="{35954E23-638C-4454-9F3B-75A417EA958C}">
      <tableStyleElement type="wholeTable" dxfId="349"/>
      <tableStyleElement type="headerRow" dxfId="348"/>
      <tableStyleElement type="totalRow" dxfId="347"/>
      <tableStyleElement type="firstColumn" dxfId="346"/>
      <tableStyleElement type="lastColumn" dxfId="345"/>
      <tableStyleElement type="firstRowStripe" dxfId="344"/>
      <tableStyleElement type="firstColumnStripe" dxfId="343"/>
    </tableStyle>
    <tableStyle name="Excel Minimal 04 Green" pivot="0" count="7" xr9:uid="{6C1ECD0B-1F69-4F08-A015-7657D5AAAE99}">
      <tableStyleElement type="wholeTable" dxfId="342"/>
      <tableStyleElement type="headerRow" dxfId="341"/>
      <tableStyleElement type="totalRow" dxfId="340"/>
      <tableStyleElement type="firstColumn" dxfId="339"/>
      <tableStyleElement type="lastColumn" dxfId="338"/>
      <tableStyleElement type="firstRowStripe" dxfId="337"/>
      <tableStyleElement type="firstColumnStripe" dxfId="336"/>
    </tableStyle>
    <tableStyle name="Excel Minimal 05 Purple" pivot="0" count="7" xr9:uid="{20A09535-52D8-4D2D-8240-898885AC29AD}">
      <tableStyleElement type="wholeTable" dxfId="335"/>
      <tableStyleElement type="headerRow" dxfId="334"/>
      <tableStyleElement type="totalRow" dxfId="333"/>
      <tableStyleElement type="firstColumn" dxfId="332"/>
      <tableStyleElement type="lastColumn" dxfId="331"/>
      <tableStyleElement type="firstRowStripe" dxfId="330"/>
      <tableStyleElement type="firstColumnStripe" dxfId="329"/>
    </tableStyle>
    <tableStyle name="Excel Minimal 06 Light Blue" pivot="0" count="7" xr9:uid="{46D4D46E-9D20-4633-A17C-24108BA052DE}">
      <tableStyleElement type="wholeTable" dxfId="328"/>
      <tableStyleElement type="headerRow" dxfId="327"/>
      <tableStyleElement type="totalRow" dxfId="326"/>
      <tableStyleElement type="firstColumn" dxfId="325"/>
      <tableStyleElement type="lastColumn" dxfId="324"/>
      <tableStyleElement type="firstRowStripe" dxfId="323"/>
      <tableStyleElement type="firstColumnStripe" dxfId="322"/>
    </tableStyle>
    <tableStyle name="Excel Minimal 07 Orange" pivot="0" count="7" xr9:uid="{7A22539F-005A-4AB7-A45D-781B43FE945C}">
      <tableStyleElement type="wholeTable" dxfId="321"/>
      <tableStyleElement type="headerRow" dxfId="320"/>
      <tableStyleElement type="totalRow" dxfId="319"/>
      <tableStyleElement type="firstColumn" dxfId="318"/>
      <tableStyleElement type="lastColumn" dxfId="317"/>
      <tableStyleElement type="firstRowStripe" dxfId="316"/>
      <tableStyleElement type="firstColumnStripe" dxfId="315"/>
    </tableStyle>
    <tableStyle name="Excel Minimal 08 Brown" pivot="0" count="7" xr9:uid="{46476A99-EF23-4F6B-91C3-6E9E9F1A5768}">
      <tableStyleElement type="wholeTable" dxfId="314"/>
      <tableStyleElement type="headerRow" dxfId="313"/>
      <tableStyleElement type="totalRow" dxfId="312"/>
      <tableStyleElement type="firstColumn" dxfId="311"/>
      <tableStyleElement type="lastColumn" dxfId="310"/>
      <tableStyleElement type="firstRowStripe" dxfId="309"/>
      <tableStyleElement type="firstColumnStripe" dxfId="308"/>
    </tableStyle>
    <tableStyle name="Shir Style 01 Gray" pivot="0" count="7" xr9:uid="{00000000-0011-0000-FFFF-FFFF03000000}">
      <tableStyleElement type="wholeTable" dxfId="307"/>
      <tableStyleElement type="headerRow" dxfId="306"/>
      <tableStyleElement type="totalRow" dxfId="305"/>
      <tableStyleElement type="firstColumn" dxfId="304"/>
      <tableStyleElement type="lastColumn" dxfId="303"/>
      <tableStyleElement type="firstRowStripe" dxfId="302"/>
      <tableStyleElement type="firstColumnStripe" dxfId="301"/>
    </tableStyle>
    <tableStyle name="Shir Style 02 Blue" pivot="0" count="7" xr9:uid="{00000000-0011-0000-FFFF-FFFF04000000}">
      <tableStyleElement type="wholeTable" dxfId="300"/>
      <tableStyleElement type="headerRow" dxfId="299"/>
      <tableStyleElement type="totalRow" dxfId="298"/>
      <tableStyleElement type="firstColumn" dxfId="297"/>
      <tableStyleElement type="lastColumn" dxfId="296"/>
      <tableStyleElement type="firstRowStripe" dxfId="295"/>
      <tableStyleElement type="firstColumnStripe" dxfId="294"/>
    </tableStyle>
    <tableStyle name="Shir Style 03 Red" pivot="0" count="7" xr9:uid="{00000000-0011-0000-FFFF-FFFF05000000}">
      <tableStyleElement type="wholeTable" dxfId="293"/>
      <tableStyleElement type="headerRow" dxfId="292"/>
      <tableStyleElement type="totalRow" dxfId="291"/>
      <tableStyleElement type="firstColumn" dxfId="290"/>
      <tableStyleElement type="lastColumn" dxfId="289"/>
      <tableStyleElement type="firstRowStripe" dxfId="288"/>
      <tableStyleElement type="firstColumnStripe" dxfId="287"/>
    </tableStyle>
    <tableStyle name="Shir Style 04 Green" pivot="0" count="7" xr9:uid="{00000000-0011-0000-FFFF-FFFF06000000}">
      <tableStyleElement type="wholeTable" dxfId="286"/>
      <tableStyleElement type="headerRow" dxfId="285"/>
      <tableStyleElement type="totalRow" dxfId="284"/>
      <tableStyleElement type="firstColumn" dxfId="283"/>
      <tableStyleElement type="lastColumn" dxfId="282"/>
      <tableStyleElement type="firstRowStripe" dxfId="281"/>
      <tableStyleElement type="firstColumnStripe" dxfId="280"/>
    </tableStyle>
    <tableStyle name="Shir Style 05 Purple" pivot="0" count="7" xr9:uid="{00000000-0011-0000-FFFF-FFFF07000000}">
      <tableStyleElement type="wholeTable" dxfId="279"/>
      <tableStyleElement type="headerRow" dxfId="278"/>
      <tableStyleElement type="totalRow" dxfId="277"/>
      <tableStyleElement type="firstColumn" dxfId="276"/>
      <tableStyleElement type="lastColumn" dxfId="275"/>
      <tableStyleElement type="firstRowStripe" dxfId="274"/>
      <tableStyleElement type="firstColumnStripe" dxfId="273"/>
    </tableStyle>
    <tableStyle name="Shir Style 06 Light Blue" pivot="0" count="7" xr9:uid="{00000000-0011-0000-FFFF-FFFF08000000}">
      <tableStyleElement type="wholeTable" dxfId="272"/>
      <tableStyleElement type="headerRow" dxfId="271"/>
      <tableStyleElement type="totalRow" dxfId="270"/>
      <tableStyleElement type="firstColumn" dxfId="269"/>
      <tableStyleElement type="lastColumn" dxfId="268"/>
      <tableStyleElement type="firstRowStripe" dxfId="267"/>
      <tableStyleElement type="firstColumnStripe" dxfId="266"/>
    </tableStyle>
    <tableStyle name="Shir Style 07 Orange" pivot="0" count="7" xr9:uid="{00000000-0011-0000-FFFF-FFFF09000000}">
      <tableStyleElement type="wholeTable" dxfId="265"/>
      <tableStyleElement type="headerRow" dxfId="264"/>
      <tableStyleElement type="totalRow" dxfId="263"/>
      <tableStyleElement type="firstColumn" dxfId="262"/>
      <tableStyleElement type="lastColumn" dxfId="261"/>
      <tableStyleElement type="firstRowStripe" dxfId="260"/>
      <tableStyleElement type="firstColumnStripe" dxfId="259"/>
    </tableStyle>
    <tableStyle name="Shir Style 08 Brown" pivot="0" count="7" xr9:uid="{00000000-0011-0000-FFFF-FFFF0A000000}">
      <tableStyleElement type="wholeTable" dxfId="258"/>
      <tableStyleElement type="headerRow" dxfId="257"/>
      <tableStyleElement type="totalRow" dxfId="256"/>
      <tableStyleElement type="firstColumn" dxfId="255"/>
      <tableStyleElement type="lastColumn" dxfId="254"/>
      <tableStyleElement type="firstRowStripe" dxfId="253"/>
      <tableStyleElement type="firstColumnStripe" dxfId="252"/>
    </tableStyle>
    <tableStyle name="Shir Style 09 Lemon" pivot="0" count="7" xr9:uid="{00000000-0011-0000-FFFF-FFFF0B000000}">
      <tableStyleElement type="wholeTable" dxfId="251"/>
      <tableStyleElement type="headerRow" dxfId="250"/>
      <tableStyleElement type="totalRow" dxfId="249"/>
      <tableStyleElement type="firstColumn" dxfId="248"/>
      <tableStyleElement type="lastColumn" dxfId="247"/>
      <tableStyleElement type="firstRowStripe" dxfId="246"/>
      <tableStyleElement type="firstColumnStripe" dxfId="245"/>
    </tableStyle>
    <tableStyle name="Shir Style 10 Pink" pivot="0" count="7" xr9:uid="{00000000-0011-0000-FFFF-FFFF0C000000}">
      <tableStyleElement type="wholeTable" dxfId="244"/>
      <tableStyleElement type="headerRow" dxfId="243"/>
      <tableStyleElement type="totalRow" dxfId="242"/>
      <tableStyleElement type="firstColumn" dxfId="241"/>
      <tableStyleElement type="lastColumn" dxfId="240"/>
      <tableStyleElement type="firstRowStripe" dxfId="239"/>
      <tableStyleElement type="firstColumnStripe" dxfId="238"/>
    </tableStyle>
    <tableStyle name="Shir Style 11 Nude" pivot="0" count="7" xr9:uid="{00000000-0011-0000-FFFF-FFFF0D000000}">
      <tableStyleElement type="wholeTable" dxfId="237"/>
      <tableStyleElement type="headerRow" dxfId="236"/>
      <tableStyleElement type="totalRow" dxfId="235"/>
      <tableStyleElement type="firstColumn" dxfId="234"/>
      <tableStyleElement type="lastColumn" dxfId="233"/>
      <tableStyleElement type="firstRowStripe" dxfId="232"/>
      <tableStyleElement type="firstColumnStripe" dxfId="231"/>
    </tableStyle>
    <tableStyle name="Shir Style 12 Yellow" pivot="0" count="7" xr9:uid="{00000000-0011-0000-FFFF-FFFF0E000000}">
      <tableStyleElement type="wholeTable" dxfId="230"/>
      <tableStyleElement type="headerRow" dxfId="229"/>
      <tableStyleElement type="totalRow" dxfId="228"/>
      <tableStyleElement type="firstColumn" dxfId="227"/>
      <tableStyleElement type="lastColumn" dxfId="226"/>
      <tableStyleElement type="firstRowStripe" dxfId="225"/>
      <tableStyleElement type="firstColumnStripe" dxfId="224"/>
    </tableStyle>
    <tableStyle name="Shir Style 13 Torquoise" pivot="0" count="7" xr9:uid="{00000000-0011-0000-FFFF-FFFF0F000000}">
      <tableStyleElement type="wholeTable" dxfId="223"/>
      <tableStyleElement type="headerRow" dxfId="222"/>
      <tableStyleElement type="totalRow" dxfId="221"/>
      <tableStyleElement type="firstColumn" dxfId="220"/>
      <tableStyleElement type="lastColumn" dxfId="219"/>
      <tableStyleElement type="firstRowStripe" dxfId="218"/>
      <tableStyleElement type="firstColumnStripe" dxfId="217"/>
    </tableStyle>
    <tableStyle name="Shir Style 14 Violet" pivot="0" count="7" xr9:uid="{00000000-0011-0000-FFFF-FFFF10000000}">
      <tableStyleElement type="wholeTable" dxfId="216"/>
      <tableStyleElement type="headerRow" dxfId="215"/>
      <tableStyleElement type="totalRow" dxfId="214"/>
      <tableStyleElement type="firstColumn" dxfId="213"/>
      <tableStyleElement type="lastColumn" dxfId="212"/>
      <tableStyleElement type="firstRowStripe" dxfId="211"/>
      <tableStyleElement type="firstColumnStripe" dxfId="210"/>
    </tableStyle>
  </tableStyles>
  <colors>
    <mruColors>
      <color rgb="FF177390"/>
      <color rgb="FF8064A2"/>
      <color rgb="FFEBFEFC"/>
      <color rgb="FF636568"/>
      <color rgb="FFD6F6F5"/>
      <color rgb="FF2AA662"/>
      <color rgb="FFF5F5F5"/>
      <color rgb="FFEAFEFC"/>
      <color rgb="FFFFDCFF"/>
      <color rgb="FFFFC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</xdr:colOff>
      <xdr:row>1</xdr:row>
      <xdr:rowOff>15241</xdr:rowOff>
    </xdr:from>
    <xdr:to>
      <xdr:col>4</xdr:col>
      <xdr:colOff>600075</xdr:colOff>
      <xdr:row>3</xdr:row>
      <xdr:rowOff>189823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CBDCA9-19F9-47DE-9430-166B15F848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645" y="100966"/>
          <a:ext cx="2392680" cy="555582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1</xdr:row>
      <xdr:rowOff>28575</xdr:rowOff>
    </xdr:from>
    <xdr:to>
      <xdr:col>6</xdr:col>
      <xdr:colOff>152400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1655A0-5492-4452-B778-F4FA33A76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0350" y="114300"/>
          <a:ext cx="571500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</xdr:colOff>
      <xdr:row>0</xdr:row>
      <xdr:rowOff>45720</xdr:rowOff>
    </xdr:from>
    <xdr:to>
      <xdr:col>2</xdr:col>
      <xdr:colOff>788194</xdr:colOff>
      <xdr:row>1</xdr:row>
      <xdr:rowOff>85456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998B6D-1F9E-43B4-AAF5-A16853073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45720"/>
          <a:ext cx="1323499" cy="3064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</xdr:colOff>
      <xdr:row>0</xdr:row>
      <xdr:rowOff>45720</xdr:rowOff>
    </xdr:from>
    <xdr:to>
      <xdr:col>2</xdr:col>
      <xdr:colOff>788194</xdr:colOff>
      <xdr:row>1</xdr:row>
      <xdr:rowOff>85456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25B595-0662-4F06-A73F-9B6E25C9D0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45720"/>
          <a:ext cx="1323499" cy="3064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</xdr:colOff>
      <xdr:row>0</xdr:row>
      <xdr:rowOff>45720</xdr:rowOff>
    </xdr:from>
    <xdr:to>
      <xdr:col>2</xdr:col>
      <xdr:colOff>654844</xdr:colOff>
      <xdr:row>1</xdr:row>
      <xdr:rowOff>85456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F36ED8-476B-4652-AFB2-6E6689C69B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45720"/>
          <a:ext cx="1323499" cy="3064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</xdr:colOff>
      <xdr:row>0</xdr:row>
      <xdr:rowOff>45720</xdr:rowOff>
    </xdr:from>
    <xdr:to>
      <xdr:col>2</xdr:col>
      <xdr:colOff>654844</xdr:colOff>
      <xdr:row>1</xdr:row>
      <xdr:rowOff>85456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7B0909-F0E7-4DF4-AE45-CE1B8FC1C9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45720"/>
          <a:ext cx="1323499" cy="3064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</xdr:colOff>
      <xdr:row>0</xdr:row>
      <xdr:rowOff>45720</xdr:rowOff>
    </xdr:from>
    <xdr:to>
      <xdr:col>2</xdr:col>
      <xdr:colOff>654844</xdr:colOff>
      <xdr:row>1</xdr:row>
      <xdr:rowOff>85456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583B8E-D8C7-47CB-B208-80468FA14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45720"/>
          <a:ext cx="1323499" cy="3064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0</xdr:row>
      <xdr:rowOff>47625</xdr:rowOff>
    </xdr:from>
    <xdr:to>
      <xdr:col>2</xdr:col>
      <xdr:colOff>656749</xdr:colOff>
      <xdr:row>1</xdr:row>
      <xdr:rowOff>87361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6E7D48-BE85-4617-ADBA-AB7EC6F13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1323499" cy="3064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0</xdr:row>
      <xdr:rowOff>47625</xdr:rowOff>
    </xdr:from>
    <xdr:to>
      <xdr:col>2</xdr:col>
      <xdr:colOff>656749</xdr:colOff>
      <xdr:row>1</xdr:row>
      <xdr:rowOff>87361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993844-67FA-42DA-BCBD-6DE5DF8CD1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1323499" cy="3064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0A5A930-A120-4484-81D8-79150382F4AA}" name="Tbl_A0_FormulaElementsIntro_01" displayName="Tbl_A0_FormulaElementsIntro_01" ref="B7:F11" headerRowDxfId="209" dataDxfId="207" headerRowBorderDxfId="208">
  <tableColumns count="5">
    <tableColumn id="2" xr3:uid="{E858CDB8-87F8-48B8-9DFF-19A9E2143565}" name="ID" totalsRowLabel="Total" dataDxfId="206" totalsRowDxfId="205">
      <calculatedColumnFormula>ROW(B8)-ROW(B$7)</calculatedColumnFormula>
    </tableColumn>
    <tableColumn id="3" xr3:uid="{432B6090-C994-466F-9313-BF1285369404}" name="Formula Excerpt" dataDxfId="204" totalsRowDxfId="203"/>
    <tableColumn id="5" xr3:uid="{E3DA930E-0048-41D1-898F-CF36D50F0CCC}" name="Formula Element" totalsRowFunction="count" dataDxfId="202" dataCellStyle="Input"/>
    <tableColumn id="1" xr3:uid="{B3B652D8-0C58-4FBB-BACE-7C643DB8D30F}" name="Answer Status Q01" dataDxfId="201" totalsRowDxfId="200">
      <calculatedColumnFormula>IFERROR(IF(Tbl_A0_FormulaElementsIntro_01[[#This Row],[Formula Element]]="","",IF(EXACT(Tbl_A0_FormulaElementsIntro_01[[#This Row],[Formula Element]],Tbl_A0_FormulaElementsIntro_01[[#This Row],[Formula Element ANS]]),Rng_Lkp_AnswerStatus_Good,Rng_Lkp_AnswerStatus_Bad)),Rng_Lkp_AnswerStatus_Bad)</calculatedColumnFormula>
    </tableColumn>
    <tableColumn id="6" xr3:uid="{DB88A6B0-3D1C-4D64-9DAC-A62F27CD9C8E}" name="Formula Element ANS" dataDxfId="199" dataCellStyle="Highlight Difference"/>
  </tableColumns>
  <tableStyleInfo name="Excel Minimal 04 Green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E459937-BB06-4384-B2DC-C8246E4B493E}" name="Tbl_Lkp_YN" displayName="Tbl_Lkp_YN" ref="C1:C3" totalsRowShown="0" headerRowDxfId="17" dataDxfId="15" headerRowBorderDxfId="16" dataCellStyle="Input">
  <tableColumns count="1">
    <tableColumn id="1" xr3:uid="{BA323957-E49C-46CE-8727-E794AE383131}" name="YesNo" dataDxfId="14" dataCellStyle="Input"/>
  </tableColumns>
  <tableStyleInfo name="Shir Style 01 Gray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9DE4539-5623-4B78-893B-EF0421E55855}" name="Tbl_A1_FormulaElements_01" displayName="Tbl_A1_FormulaElements_01" ref="B7:O15" headerRowDxfId="198" dataDxfId="196" headerRowBorderDxfId="197">
  <tableColumns count="14">
    <tableColumn id="2" xr3:uid="{97E3EF05-2066-4C28-9866-E47E5CBC1140}" name="ID" totalsRowLabel="Total" dataDxfId="195" totalsRowDxfId="194">
      <calculatedColumnFormula>ROW(B8)-ROW(B$7)</calculatedColumnFormula>
    </tableColumn>
    <tableColumn id="3" xr3:uid="{C2C82B14-8104-4435-BADE-DA2EFB4C5DC0}" name="Formula Example" dataDxfId="193" totalsRowDxfId="192"/>
    <tableColumn id="5" xr3:uid="{1D23A987-C79C-45B1-9B3E-C7B88F1CE27F}" name="Contains Function(s) Y/N" totalsRowFunction="count" dataDxfId="191" dataCellStyle="Input"/>
    <tableColumn id="1" xr3:uid="{BB8A390C-602B-4864-8C53-624977D86DCB}" name="Answer Status Q01" dataDxfId="190" totalsRowDxfId="189">
      <calculatedColumnFormula>IFERROR(IF(Tbl_A1_FormulaElements_01[[#This Row],[Contains Function(s) Y/N]]="","",IF(EXACT(Tbl_A1_FormulaElements_01[[#This Row],[Contains Function(s) Y/N]],Tbl_A1_FormulaElements_01[[#This Row],[Contains Function(s) Y/N ANS]]),Rng_Lkp_AnswerStatus_Good,Rng_Lkp_AnswerStatus_Bad)),Rng_Lkp_AnswerStatus_Bad)</calculatedColumnFormula>
    </tableColumn>
    <tableColumn id="6" xr3:uid="{43B5B194-E228-449E-BD6F-F3887AB7E7AA}" name="Contains Function(s) Y/N ANS" dataDxfId="188" dataCellStyle="Highlight Difference"/>
    <tableColumn id="14" xr3:uid="{1E0EA72F-C393-4C6A-8A48-17F5EEEE6EE2}" name="Contains Reference(s) Y/N" dataDxfId="187" totalsRowDxfId="186" dataCellStyle="Input"/>
    <tableColumn id="15" xr3:uid="{009F021A-E6CC-4194-8911-D2F1D930673E}" name="Answer Status Q02" dataDxfId="185" totalsRowDxfId="184">
      <calculatedColumnFormula>IFERROR(IF(Tbl_A1_FormulaElements_01[[#This Row],[Contains Reference(s) Y/N]]="","",IF(EXACT(Tbl_A1_FormulaElements_01[[#This Row],[Contains Reference(s) Y/N]],Tbl_A1_FormulaElements_01[[#This Row],[Contains Reference(s) Y/N ANS]]),Rng_Lkp_AnswerStatus_Good,Rng_Lkp_AnswerStatus_Bad)),Rng_Lkp_AnswerStatus_Bad)</calculatedColumnFormula>
    </tableColumn>
    <tableColumn id="16" xr3:uid="{2C48D655-2A1C-43FC-B84F-0FC91429A7A1}" name="Contains Reference(s) Y/N ANS" dataDxfId="183" totalsRowDxfId="182" dataCellStyle="Highlight Difference"/>
    <tableColumn id="17" xr3:uid="{A4031DD2-00FE-43EC-84BD-CDAF603779EA}" name="Contains Operator(s) Y/N" dataDxfId="181" totalsRowDxfId="180" dataCellStyle="Input"/>
    <tableColumn id="18" xr3:uid="{DF0319DE-C1D3-4F06-9C2B-CECA870C2210}" name="Answer Status Q03" dataDxfId="179" totalsRowDxfId="178">
      <calculatedColumnFormula>IFERROR(IF(Tbl_A1_FormulaElements_01[[#This Row],[Contains Operator(s) Y/N]]="","",IF(EXACT(Tbl_A1_FormulaElements_01[[#This Row],[Contains Operator(s) Y/N]],Tbl_A1_FormulaElements_01[[#This Row],[Contains Operator(s) Y/N ANS]]),Rng_Lkp_AnswerStatus_Good,Rng_Lkp_AnswerStatus_Bad)),Rng_Lkp_AnswerStatus_Bad)</calculatedColumnFormula>
    </tableColumn>
    <tableColumn id="19" xr3:uid="{76F548FB-1A8C-413C-874C-6346367E7FAB}" name="Contains Operator(s) Y/N ANS" dataDxfId="177" totalsRowDxfId="176" dataCellStyle="Highlight Difference"/>
    <tableColumn id="20" xr3:uid="{16536B95-1417-4B75-9274-C540D25FDFD1}" name="Contains Constant(s) Y/N" dataDxfId="175" totalsRowDxfId="174" dataCellStyle="Input"/>
    <tableColumn id="21" xr3:uid="{7813D89B-4662-428B-944E-24CAE07ED060}" name="Answer Status Q04" dataDxfId="173" totalsRowDxfId="172">
      <calculatedColumnFormula>IFERROR(IF(Tbl_A1_FormulaElements_01[[#This Row],[Contains Constant(s) Y/N]]="","",IF(EXACT(Tbl_A1_FormulaElements_01[[#This Row],[Contains Constant(s) Y/N]],Tbl_A1_FormulaElements_01[[#This Row],[Contains Constant(s) Y/N ANS]]),Rng_Lkp_AnswerStatus_Good,Rng_Lkp_AnswerStatus_Bad)),Rng_Lkp_AnswerStatus_Bad)</calculatedColumnFormula>
    </tableColumn>
    <tableColumn id="22" xr3:uid="{CE714639-A4AE-4964-AB2D-74F74E3A3CAA}" name="Contains Constant(s) Y/N ANS" dataDxfId="171" totalsRowDxfId="170" dataCellStyle="Highlight Difference"/>
  </tableColumns>
  <tableStyleInfo name="Excel Minimal 04 Green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D60AC32-51F8-4D8C-B2A0-B3AD7DF1B595}" name="Tbl_A2_Syntax_01" displayName="Tbl_A2_Syntax_01" ref="B7:W17" headerRowDxfId="169" dataDxfId="167" headerRowBorderDxfId="168">
  <tableColumns count="22">
    <tableColumn id="2" xr3:uid="{1D1A4CA0-8961-416B-A7C3-1554D4A68D81}" name="Account ID" totalsRowLabel="Total" dataDxfId="166" totalsRowDxfId="165"/>
    <tableColumn id="3" xr3:uid="{2977C050-245C-4759-B2F3-076F0B6DE18D}" name="Full Name" dataDxfId="164" totalsRowDxfId="163"/>
    <tableColumn id="4" xr3:uid="{BCD43F25-32CC-48CF-BDC4-B2E5BD3C01F1}" name="Member Dues Year 1" dataDxfId="162"/>
    <tableColumn id="19" xr3:uid="{6C80C285-4B69-4802-81B6-51AD41CF9CD1}" name="Member Dues Year 2" dataDxfId="161"/>
    <tableColumn id="5" xr3:uid="{E587E422-71B2-4524-945D-B433BFECA613}" name="% Change (Y2 - Y1) / Y1" totalsRowFunction="count" dataDxfId="160" dataCellStyle="Input"/>
    <tableColumn id="1" xr3:uid="{04ED18E2-0A12-4595-889E-2A9CF49C557D}" name="Answer Status Q01" dataDxfId="159" totalsRowDxfId="158">
      <calculatedColumnFormula>IFERROR(IF(Tbl_A2_Syntax_01[[#This Row],[% Change (Y2 - Y1) / Y1]]="","",IF(AND(_xlfn.ISFORMULA(Tbl_A2_Syntax_01[[#This Row],[% Change (Y2 - Y1) / Y1]]),EXACT(Tbl_A2_Syntax_01[[#This Row],[% Change (Y2 - Y1) / Y1]],Tbl_A2_Syntax_01[[#This Row],[% Change (Y2 - Y1) / Y1 ANS]])),Rng_Lkp_AnswerStatus_Good,Rng_Lkp_AnswerStatus_Bad)),Rng_Lkp_AnswerStatus_Bad)</calculatedColumnFormula>
    </tableColumn>
    <tableColumn id="6" xr3:uid="{813AF4AB-7216-416C-8A12-2CC8FC2A7DEE}" name="% Change (Y2 - Y1) / Y1 ANS" dataDxfId="157" dataCellStyle="Highlight Difference">
      <calculatedColumnFormula>(Tbl_A2_Syntax_01[[#This Row],[Member Dues Year 2]]-Tbl_A2_Syntax_01[[#This Row],[Member Dues Year 1]])/Tbl_A2_Syntax_01[[#This Row],[Member Dues Year 1]]</calculatedColumnFormula>
    </tableColumn>
    <tableColumn id="7" xr3:uid="{C21B2418-3CCB-4822-9179-C776EBA2DF10}" name="Member Dues Y1^2" dataDxfId="156" dataCellStyle="Input"/>
    <tableColumn id="8" xr3:uid="{35C4C182-1EEF-4B3D-A38C-D77643658701}" name="Answer Status Q02" dataDxfId="155" totalsRowDxfId="154">
      <calculatedColumnFormula>IFERROR(IF(Tbl_A2_Syntax_01[[#This Row],[Member Dues Y1^2]]="","",IF(AND(_xlfn.ISFORMULA(Tbl_A2_Syntax_01[[#This Row],[Member Dues Y1^2]]),EXACT(Tbl_A2_Syntax_01[[#This Row],[Member Dues Y1^2]],Tbl_A2_Syntax_01[[#This Row],[Member Dues Y1^2 ANS]])),Rng_Lkp_AnswerStatus_Good,Rng_Lkp_AnswerStatus_Bad)),Rng_Lkp_AnswerStatus_Bad)</calculatedColumnFormula>
    </tableColumn>
    <tableColumn id="9" xr3:uid="{A11CB758-85C0-4E5E-8F4A-34267BC8D3FC}" name="Member Dues Y1^2 ANS" dataDxfId="153" totalsRowDxfId="152" dataCellStyle="Highlight Difference">
      <calculatedColumnFormula>Tbl_A2_Syntax_01[[#This Row],[Member Dues Year 1]]^2</calculatedColumnFormula>
    </tableColumn>
    <tableColumn id="10" xr3:uid="{7A260EA5-F903-4D77-9FC2-E9C9EB5BF311}" name="Is Y1 Less Than or Equal to Y2" dataDxfId="151" totalsRowDxfId="150"/>
    <tableColumn id="11" xr3:uid="{484D05B1-3CCC-42AE-8CB9-A96EB4A158EE}" name="Answer Status Q03" dataDxfId="149" totalsRowDxfId="148">
      <calculatedColumnFormula>IFERROR(IF(Tbl_A2_Syntax_01[[#This Row],[Is Y1 Less Than or Equal to Y2]]="","",IF(AND(_xlfn.ISFORMULA(Tbl_A2_Syntax_01[[#This Row],[Is Y1 Less Than or Equal to Y2]]),EXACT(Tbl_A2_Syntax_01[[#This Row],[Is Y1 Less Than or Equal to Y2]],Tbl_A2_Syntax_01[[#This Row],[Is Y1 Less Than or Equal to Y2 ANS]])),Rng_Lkp_AnswerStatus_Good,Rng_Lkp_AnswerStatus_Bad)),Rng_Lkp_AnswerStatus_Bad)</calculatedColumnFormula>
    </tableColumn>
    <tableColumn id="12" xr3:uid="{E9D70638-2CAC-4189-B2D9-8B52E017518D}" name="Is Y1 Less Than or Equal to Y2 ANS" dataDxfId="147" totalsRowDxfId="146">
      <calculatedColumnFormula>Tbl_A2_Syntax_01[[#This Row],[Member Dues Year 1]]&lt;=Tbl_A2_Syntax_01[[#This Row],[Member Dues Year 2]]</calculatedColumnFormula>
    </tableColumn>
    <tableColumn id="13" xr3:uid="{EF326DD8-A19F-4E55-8386-57BA05FFCDEB}" name="Is Y1 Equal to Y2" dataDxfId="145" totalsRowDxfId="144"/>
    <tableColumn id="14" xr3:uid="{7FA5D279-32B7-4444-9788-60A852EC1D41}" name="Answer Status Q04" dataDxfId="143" totalsRowDxfId="142">
      <calculatedColumnFormula>IFERROR(IF(Tbl_A2_Syntax_01[[#This Row],[Is Y1 Equal to Y2]]="","",IF(AND(_xlfn.ISFORMULA(Tbl_A2_Syntax_01[[#This Row],[Is Y1 Equal to Y2]]),EXACT(Tbl_A2_Syntax_01[[#This Row],[Is Y1 Equal to Y2]],Tbl_A2_Syntax_01[[#This Row],[Is Y1 Equal to Y2 ANS]])),Rng_Lkp_AnswerStatus_Good,Rng_Lkp_AnswerStatus_Bad)),Rng_Lkp_AnswerStatus_Bad)</calculatedColumnFormula>
    </tableColumn>
    <tableColumn id="15" xr3:uid="{58322767-4FC7-445B-B748-B32F987CE705}" name="Is Y1 Equal to Y2 ANS" dataDxfId="141" totalsRowDxfId="140">
      <calculatedColumnFormula>Tbl_A2_Syntax_01[[#This Row],[Member Dues Year 1]]=Tbl_A2_Syntax_01[[#This Row],[Member Dues Year 2]]</calculatedColumnFormula>
    </tableColumn>
    <tableColumn id="20" xr3:uid="{D0CDDF27-BE86-4361-9728-E41804636921}" name="Is Y1 Not Equal to Y2" dataDxfId="139" totalsRowDxfId="138"/>
    <tableColumn id="21" xr3:uid="{399DC56A-40B0-4672-B8A5-5B039C1C7072}" name="Answer Status Q05" dataDxfId="137" totalsRowDxfId="136">
      <calculatedColumnFormula>IFERROR(IF(Tbl_A2_Syntax_01[[#This Row],[Is Y1 Not Equal to Y2]]="","",IF(AND(_xlfn.ISFORMULA(Tbl_A2_Syntax_01[[#This Row],[Is Y1 Not Equal to Y2]]),EXACT(Tbl_A2_Syntax_01[[#This Row],[Is Y1 Not Equal to Y2]],Tbl_A2_Syntax_01[[#This Row],[Is Y1 Not Equal to Y2 ANS]])),Rng_Lkp_AnswerStatus_Good,Rng_Lkp_AnswerStatus_Bad)),Rng_Lkp_AnswerStatus_Bad)</calculatedColumnFormula>
    </tableColumn>
    <tableColumn id="22" xr3:uid="{5E0A94E2-57DE-4254-86C6-8AC3E640994A}" name="Is Y1 Not Equal to Y2 ANS" dataDxfId="135" totalsRowDxfId="134">
      <calculatedColumnFormula>Tbl_A2_Syntax_01[[#This Row],[Member Dues Year 1]]&lt;&gt;Tbl_A2_Syntax_01[[#This Row],[Member Dues Year 2]]</calculatedColumnFormula>
    </tableColumn>
    <tableColumn id="16" xr3:uid="{B6C3C143-8A14-4A37-B3F3-0DA1E8E590AE}" name="Account ID: Full Name" dataDxfId="133" totalsRowDxfId="132" dataCellStyle="Input"/>
    <tableColumn id="17" xr3:uid="{4E4AE856-36EF-4A97-9AC4-9A40CEECB9E5}" name="Answer Status Q06" dataDxfId="131" totalsRowDxfId="130">
      <calculatedColumnFormula>IFERROR(IF(Tbl_A2_Syntax_01[[#This Row],[Account ID: Full Name]]="","",IF(AND(_xlfn.ISFORMULA(Tbl_A2_Syntax_01[[#This Row],[Account ID: Full Name]]),EXACT(Tbl_A2_Syntax_01[[#This Row],[Account ID: Full Name]],Tbl_A2_Syntax_01[[#This Row],[Account ID: Full Name ANS]])),Rng_Lkp_AnswerStatus_Good,Rng_Lkp_AnswerStatus_Bad)),Rng_Lkp_AnswerStatus_Bad)</calculatedColumnFormula>
    </tableColumn>
    <tableColumn id="18" xr3:uid="{04F1172B-2557-496A-A6FD-9F6DA9EF2126}" name="Account ID: Full Name ANS" dataDxfId="129" totalsRowDxfId="128" dataCellStyle="Highlight Difference">
      <calculatedColumnFormula>Tbl_A2_Syntax_01[[#This Row],[Account ID]] &amp; ": " &amp; Tbl_A2_Syntax_01[[#This Row],[Full Name]]</calculatedColumnFormula>
    </tableColumn>
  </tableColumns>
  <tableStyleInfo name="Excel Minimal 05 Purp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70A17F1-5C46-4ED6-B336-1EB0E07949B1}" name="Tbl_B3_Placeholders_01" displayName="Tbl_B3_Placeholders_01" ref="B7:J17" headerRowDxfId="127" dataDxfId="125" headerRowBorderDxfId="126">
  <tableColumns count="9">
    <tableColumn id="2" xr3:uid="{41765F66-9908-4945-9695-80394468864E}" name="Account ID" totalsRowLabel="Total" dataDxfId="124" totalsRowDxfId="123"/>
    <tableColumn id="3" xr3:uid="{A9E2A422-9DB3-4EC3-9510-EBBB93BD0694}" name="Full Name" dataDxfId="122" totalsRowDxfId="121"/>
    <tableColumn id="26" xr3:uid="{0610C4CF-5A9E-44F9-93A0-F20F68B6A602}" name="State" dataDxfId="120" totalsRowDxfId="119"/>
    <tableColumn id="5" xr3:uid="{A3D7D0F9-A397-45D4-93E3-8407064C3925}" name="Is State &quot;NY&quot; (&quot;blah true&quot; or &quot;blah false&quot;)" totalsRowFunction="count" dataDxfId="118" dataCellStyle="Input"/>
    <tableColumn id="1" xr3:uid="{C122DBD4-EE51-46DA-B808-1CE7626EBCA4}" name="Answer Status Q01" dataDxfId="117" totalsRowDxfId="116">
      <calculatedColumnFormula>IFERROR(IF(Tbl_B3_Placeholders_01[[#This Row],[Is State "NY" ("blah true" or "blah false")]]="","",IF(AND(_xlfn.ISFORMULA(Tbl_B3_Placeholders_01[[#This Row],[Is State "NY" ("blah true" or "blah false")]]),EXACT(Tbl_B3_Placeholders_01[[#This Row],[Is State "NY" ("blah true" or "blah false")]],Tbl_B3_Placeholders_01[[#This Row],[Is State "NY" ("blah true" or "blah false") ANS]])),Rng_Lkp_AnswerStatus_Good,Rng_Lkp_AnswerStatus_Bad)),Rng_Lkp_AnswerStatus_Bad)</calculatedColumnFormula>
    </tableColumn>
    <tableColumn id="6" xr3:uid="{854C4FFB-6CF9-4DD0-B315-4DB105BA47CD}" name="Is State &quot;NY&quot; (&quot;blah true&quot; or &quot;blah false&quot;) ANS" dataDxfId="115" dataCellStyle="Highlight Difference">
      <calculatedColumnFormula>IF(Tbl_B3_Placeholders_01[[#This Row],[State]]="NY","blah true","blah false")</calculatedColumnFormula>
    </tableColumn>
    <tableColumn id="7" xr3:uid="{66A9B193-061E-40C6-AC52-C2F96FBA54E7}" name="Is State &quot;NY&quot; (If true, show Account ID: Full Name. If false, show Account ID-State)" dataDxfId="114" dataCellStyle="Input"/>
    <tableColumn id="8" xr3:uid="{9873F07E-31B0-4951-85C8-AF40276D75B3}" name="Answer Status Q02" dataDxfId="113" totalsRowDxfId="112">
      <calculatedColumnFormula>IFERROR(IF(Tbl_B3_Placeholders_01[[#This Row],[Is State "NY" (If true, show Account ID: Full Name. If false, show Account ID-State)]]="","",IF(AND(_xlfn.ISFORMULA(Tbl_B3_Placeholders_01[[#This Row],[Is State "NY" (If true, show Account ID: Full Name. If false, show Account ID-State)]]),EXACT(Tbl_B3_Placeholders_01[[#This Row],[Is State "NY" (If true, show Account ID: Full Name. If false, show Account ID-State)]],Tbl_B3_Placeholders_01[[#This Row],[Is State "NY" (If true, show Account ID: Full Name. If false, show Account ID-State) ANS]])),Rng_Lkp_AnswerStatus_Good,Rng_Lkp_AnswerStatus_Bad)),Rng_Lkp_AnswerStatus_Bad)</calculatedColumnFormula>
    </tableColumn>
    <tableColumn id="9" xr3:uid="{6C0824C9-FCAA-420B-9E28-24840C199962}" name="Is State &quot;NY&quot; (If true, show Account ID: Full Name. If false, show Account ID-State) ANS" dataDxfId="111" totalsRowDxfId="110" dataCellStyle="Highlight Difference">
      <calculatedColumnFormula>IF(Tbl_B3_Placeholders_01[[#This Row],[State]]="NY",Tbl_B3_Placeholders_01[[#This Row],[Account ID]] &amp; ": " &amp; Tbl_B3_Placeholders_01[[#This Row],[Full Name]],Tbl_B3_Placeholders_01[[#This Row],[Account ID]] &amp; "-" &amp; Tbl_B3_Placeholders_01[[#This Row],[State]])</calculatedColumnFormula>
    </tableColumn>
  </tableColumns>
  <tableStyleInfo name="Excel Minimal 06 Light Blu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BF8E49C-53E5-4A7A-BB53-034F7148CF9A}" name="Tbl_B4_HelperColumns_01" displayName="Tbl_B4_HelperColumns_01" ref="B7:P17" headerRowDxfId="109" dataDxfId="107" headerRowBorderDxfId="108">
  <tableColumns count="15">
    <tableColumn id="2" xr3:uid="{368AD72D-A076-431B-85A4-B9D7C930B74B}" name="Account ID" totalsRowLabel="Total" dataDxfId="106" totalsRowDxfId="105"/>
    <tableColumn id="3" xr3:uid="{8FB66BD2-01B1-4EDB-8200-88D46B772AAF}" name="Full Name" dataDxfId="104" totalsRowDxfId="103"/>
    <tableColumn id="4" xr3:uid="{47BFC584-C425-4B8E-9EE5-1D1E1A462F5F}" name="Member Start Date" dataDxfId="102" totalsRowDxfId="101"/>
    <tableColumn id="5" xr3:uid="{A3E0B7E6-E974-4E7B-A4F1-70542427FE0E}" name="Start Year" totalsRowFunction="count" dataDxfId="100" dataCellStyle="Input"/>
    <tableColumn id="1" xr3:uid="{247395A4-81DA-4E79-B109-13224FED8E33}" name="Answer Status Q01" dataDxfId="99" totalsRowDxfId="98">
      <calculatedColumnFormula>IFERROR(IF(Tbl_B4_HelperColumns_01[[#This Row],[Start Year]]="","",IF(AND(_xlfn.ISFORMULA(Tbl_B4_HelperColumns_01[[#This Row],[Start Year]]),EXACT(Tbl_B4_HelperColumns_01[[#This Row],[Start Year]],Tbl_B4_HelperColumns_01[[#This Row],[Start Year ANS]])),Rng_Lkp_AnswerStatus_Good,Rng_Lkp_AnswerStatus_Bad)),Rng_Lkp_AnswerStatus_Bad)</calculatedColumnFormula>
    </tableColumn>
    <tableColumn id="6" xr3:uid="{7A59A46F-80A7-4B56-ACCA-AE1C9E67798C}" name="Start Year ANS" dataDxfId="97" dataCellStyle="Highlight Difference">
      <calculatedColumnFormula>YEAR(Tbl_B4_HelperColumns_01[[#This Row],[Member Start Date]])</calculatedColumnFormula>
    </tableColumn>
    <tableColumn id="7" xr3:uid="{F119F716-CC06-4283-A718-89E5E7D554D3}" name="Start Month" dataDxfId="96" totalsRowDxfId="95" dataCellStyle="Input"/>
    <tableColumn id="8" xr3:uid="{F23D50FE-0206-476E-B3BB-9E8A95142C13}" name="Answer Status Q02" dataDxfId="94" totalsRowDxfId="93">
      <calculatedColumnFormula>IFERROR(IF(Tbl_B4_HelperColumns_01[[#This Row],[Start Month]]="","",IF(AND(_xlfn.ISFORMULA(Tbl_B4_HelperColumns_01[[#This Row],[Start Month]]),EXACT(Tbl_B4_HelperColumns_01[[#This Row],[Start Month]],Tbl_B4_HelperColumns_01[[#This Row],[Start Month ANS]])),Rng_Lkp_AnswerStatus_Good,Rng_Lkp_AnswerStatus_Bad)),Rng_Lkp_AnswerStatus_Bad)</calculatedColumnFormula>
    </tableColumn>
    <tableColumn id="9" xr3:uid="{25EABC5B-4BA7-4B27-B288-3456BD423241}" name="Start Month ANS" dataDxfId="92" totalsRowDxfId="91" dataCellStyle="Highlight Difference">
      <calculatedColumnFormula>MONTH(Tbl_B4_HelperColumns_01[[#This Row],[Member Start Date]])</calculatedColumnFormula>
    </tableColumn>
    <tableColumn id="10" xr3:uid="{124EAFEB-4E1B-4A9A-AE6D-84B66B50AFC0}" name="Start Day" dataDxfId="90" totalsRowDxfId="89"/>
    <tableColumn id="11" xr3:uid="{9164FBA7-9633-4E8D-B87C-BD13207AB5CE}" name="Answer Status Q03" dataDxfId="88" totalsRowDxfId="87">
      <calculatedColumnFormula>IFERROR(IF(Tbl_B4_HelperColumns_01[[#This Row],[Start Day]]="","",IF(AND(_xlfn.ISFORMULA(Tbl_B4_HelperColumns_01[[#This Row],[Start Day]]),EXACT(Tbl_B4_HelperColumns_01[[#This Row],[Start Day]],Tbl_B4_HelperColumns_01[[#This Row],[Start Day ANS]])),Rng_Lkp_AnswerStatus_Good,Rng_Lkp_AnswerStatus_Bad)),Rng_Lkp_AnswerStatus_Bad)</calculatedColumnFormula>
    </tableColumn>
    <tableColumn id="12" xr3:uid="{99993122-F165-4223-BEB1-B0A357DADB95}" name="Start Day ANS" dataDxfId="86" totalsRowDxfId="85">
      <calculatedColumnFormula>DAY(Tbl_B4_HelperColumns_01[[#This Row],[Member Start Date]])</calculatedColumnFormula>
    </tableColumn>
    <tableColumn id="13" xr3:uid="{CA4B8728-6B89-4B26-BC68-364109C30BE1}" name="3 Months After Start Date" dataDxfId="84" totalsRowDxfId="83"/>
    <tableColumn id="14" xr3:uid="{3B50AAC2-039B-48D2-BCFC-8106D15D163B}" name="Answer Status Q04" dataDxfId="82" totalsRowDxfId="81">
      <calculatedColumnFormula>IFERROR(IF(Tbl_B4_HelperColumns_01[[#This Row],[3 Months After Start Date]]="","",IF(AND(_xlfn.ISFORMULA(Tbl_B4_HelperColumns_01[[#This Row],[3 Months After Start Date]]),EXACT(Tbl_B4_HelperColumns_01[[#This Row],[3 Months After Start Date]],Tbl_B4_HelperColumns_01[[#This Row],[3 Months After Start Date ANS]])),Rng_Lkp_AnswerStatus_Good,Rng_Lkp_AnswerStatus_Bad)),Rng_Lkp_AnswerStatus_Bad)</calculatedColumnFormula>
    </tableColumn>
    <tableColumn id="15" xr3:uid="{4F9DCA51-0473-454A-A719-5706B17700BE}" name="3 Months After Start Date ANS" dataDxfId="80" totalsRowDxfId="79">
      <calculatedColumnFormula>DATE(Tbl_B4_HelperColumns_01[[#This Row],[Start Year ANS]],Tbl_B4_HelperColumns_01[[#This Row],[Start Month ANS]]+3,Tbl_B4_HelperColumns_01[[#This Row],[Start Day ANS]])</calculatedColumnFormula>
    </tableColumn>
  </tableColumns>
  <tableStyleInfo name="Excel Minimal 07 Orang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25C4EFF-C4E7-4157-AFF9-4B6FF353E537}" name="Tbl_B5_Help_01" displayName="Tbl_B5_Help_01" ref="B7:Z17" headerRowDxfId="78" dataDxfId="76" headerRowBorderDxfId="77">
  <tableColumns count="25">
    <tableColumn id="2" xr3:uid="{5C70AA98-0965-431A-AD78-8039450F383F}" name="Account ID" totalsRowLabel="Total" dataDxfId="75" totalsRowDxfId="74"/>
    <tableColumn id="3" xr3:uid="{42CB7F9A-F9F2-42B2-A696-E61A3C121C50}" name="Full Name" dataDxfId="73"/>
    <tableColumn id="26" xr3:uid="{37163EAE-EC0C-4297-B387-339749274DDC}" name="State" dataDxfId="72"/>
    <tableColumn id="4" xr3:uid="{7463A6FB-BFA1-40CE-A44C-46B7DA704EAC}" name="Member Start Date" dataDxfId="71"/>
    <tableColumn id="5" xr3:uid="{26454093-8EC7-4A61-884C-43860C5C33CD}" name="Start Weekday (&quot;DDD&quot;)" totalsRowFunction="count" dataDxfId="70" dataCellStyle="Input"/>
    <tableColumn id="1" xr3:uid="{96EC82D5-D331-4EDB-9050-712AC7870728}" name="Answer Status Q01" dataDxfId="69">
      <calculatedColumnFormula>IFERROR(IF(Tbl_B5_Help_01[[#This Row],[Start Weekday ("DDD")]]="","",IF(AND(_xlfn.ISFORMULA(Tbl_B5_Help_01[[#This Row],[Start Weekday ("DDD")]]),EXACT(Tbl_B5_Help_01[[#This Row],[Start Weekday ("DDD")]],Tbl_B5_Help_01[[#This Row],[Start Weekday ("DDD") ANS]])),Rng_Lkp_AnswerStatus_Good,Rng_Lkp_AnswerStatus_Bad)),Rng_Lkp_AnswerStatus_Bad)</calculatedColumnFormula>
    </tableColumn>
    <tableColumn id="6" xr3:uid="{6E0E645B-7C87-42F3-A379-35EE7922FD5C}" name="Start Weekday (&quot;DDD&quot;) ANS" dataDxfId="68" dataCellStyle="Highlight Difference">
      <calculatedColumnFormula>TEXT(Tbl_B5_Help_01[[#This Row],[Member Start Date]],"DDD")</calculatedColumnFormula>
    </tableColumn>
    <tableColumn id="7" xr3:uid="{1D1C71A7-23A1-4D7E-A30B-AFDDEF9CAFD8}" name="Start Month (&quot;MMM&quot;)" dataDxfId="67" dataCellStyle="Input"/>
    <tableColumn id="8" xr3:uid="{74C694BB-0ED5-40EA-A19B-2C6FA27C9E51}" name="Answer Status Q02" dataDxfId="66">
      <calculatedColumnFormula>IFERROR(IF(Tbl_B5_Help_01[[#This Row],[Start Month ("MMM")]]="","",IF(AND(_xlfn.ISFORMULA(Tbl_B5_Help_01[[#This Row],[Start Month ("MMM")]]),EXACT(Tbl_B5_Help_01[[#This Row],[Start Month ("MMM")]],Tbl_B5_Help_01[[#This Row],[Start Month ("MMM") ANS]])),Rng_Lkp_AnswerStatus_Good,Rng_Lkp_AnswerStatus_Bad)),Rng_Lkp_AnswerStatus_Bad)</calculatedColumnFormula>
    </tableColumn>
    <tableColumn id="9" xr3:uid="{223091F7-4DED-45A3-912E-0DBBE593B59F}" name="Start Month (&quot;MMM&quot;) ANS" dataDxfId="65" dataCellStyle="Highlight Difference">
      <calculatedColumnFormula>TEXT(Tbl_B5_Help_01[[#This Row],[Member Start Date]],"MMM")</calculatedColumnFormula>
    </tableColumn>
    <tableColumn id="10" xr3:uid="{79F041F9-090B-499E-B7DC-0412306B5BFB}" name="Start Day (&quot;D&quot;)" dataDxfId="64"/>
    <tableColumn id="11" xr3:uid="{001AA4D8-72DF-4617-93FF-5D9CCE003D94}" name="Answer Status Q03" dataDxfId="63">
      <calculatedColumnFormula>IFERROR(IF(Tbl_B5_Help_01[[#This Row],[Start Day ("D")]]="","",IF(AND(_xlfn.ISFORMULA(Tbl_B5_Help_01[[#This Row],[Start Day ("D")]]),EXACT(Tbl_B5_Help_01[[#This Row],[Start Day ("D")]],Tbl_B5_Help_01[[#This Row],[Start Day ("D") ANS]])),Rng_Lkp_AnswerStatus_Good,Rng_Lkp_AnswerStatus_Bad)),Rng_Lkp_AnswerStatus_Bad)</calculatedColumnFormula>
    </tableColumn>
    <tableColumn id="12" xr3:uid="{ED182F9C-4BA9-4481-BB60-4DAC2D1D4A30}" name="Start Day (&quot;D&quot;) ANS" dataDxfId="62">
      <calculatedColumnFormula>TEXT(Tbl_B5_Help_01[[#This Row],[Member Start Date]],"D")</calculatedColumnFormula>
    </tableColumn>
    <tableColumn id="13" xr3:uid="{CBB9B341-7B95-4972-86B8-E6876E045701}" name="Start Year (&quot;YYYY&quot;)" dataDxfId="61"/>
    <tableColumn id="14" xr3:uid="{13E30746-62C1-42CC-9316-659EA646FD19}" name="Answer Status Q04" dataDxfId="60">
      <calculatedColumnFormula>IFERROR(IF(Tbl_B5_Help_01[[#This Row],[Start Year ("YYYY")]]="","",IF(AND(_xlfn.ISFORMULA(Tbl_B5_Help_01[[#This Row],[Start Year ("YYYY")]]),EXACT(Tbl_B5_Help_01[[#This Row],[Start Year ("YYYY")]],Tbl_B5_Help_01[[#This Row],[Start Year ("YYYY") ANS]])),Rng_Lkp_AnswerStatus_Good,Rng_Lkp_AnswerStatus_Bad)),Rng_Lkp_AnswerStatus_Bad)</calculatedColumnFormula>
    </tableColumn>
    <tableColumn id="15" xr3:uid="{D1A54581-CB42-4A9A-B4B6-6E037748464F}" name="Start Year (&quot;YYYY&quot;) ANS" dataDxfId="59">
      <calculatedColumnFormula>TEXT(Tbl_B5_Help_01[[#This Row],[Member Start Date]],"YYYY")</calculatedColumnFormula>
    </tableColumn>
    <tableColumn id="20" xr3:uid="{355C7980-D467-4CB9-BE24-2233F7B73C1E}" name="Full Start Date (&quot;DDD, MMM D, YYYY&quot;)" dataDxfId="58"/>
    <tableColumn id="21" xr3:uid="{FC1BAB81-5E56-4270-8355-085F32031D30}" name="Answer Status Q05" dataDxfId="57">
      <calculatedColumnFormula>IFERROR(IF(Tbl_B5_Help_01[[#This Row],[Full Start Date ("DDD, MMM D, YYYY")]]="","",IF(AND(_xlfn.ISFORMULA(Tbl_B5_Help_01[[#This Row],[Full Start Date ("DDD, MMM D, YYYY")]]),EXACT(Tbl_B5_Help_01[[#This Row],[Full Start Date ("DDD, MMM D, YYYY")]],Tbl_B5_Help_01[[#This Row],[Full Start Date ("DDD, MMM D, YYYY") ANS]])),Rng_Lkp_AnswerStatus_Good,Rng_Lkp_AnswerStatus_Bad)),Rng_Lkp_AnswerStatus_Bad)</calculatedColumnFormula>
    </tableColumn>
    <tableColumn id="22" xr3:uid="{083CAFE2-2288-4089-98B4-2717DBF115D7}" name="Full Start Date (&quot;DDD, MMM D, YYYY&quot;) ANS" dataDxfId="56">
      <calculatedColumnFormula>TEXT(Tbl_B5_Help_01[[#This Row],[Member Start Date]],"DDD, MMM D, YYYY")</calculatedColumnFormula>
    </tableColumn>
    <tableColumn id="23" xr3:uid="{3800B524-51B2-433F-A804-27F250EBAB94}" name="Full Start Date (&quot;DDD, MMM D, YYYY&quot;) using Q1-4" dataDxfId="55"/>
    <tableColumn id="24" xr3:uid="{66E93E76-C439-404B-8229-D03D85A295BD}" name="Answer Status Q06" dataDxfId="54" totalsRowDxfId="53">
      <calculatedColumnFormula>IFERROR(IF(Tbl_B5_Help_01[[#This Row],[Full Start Date ("DDD, MMM D, YYYY") using Q1-4]]="","",IF(AND(_xlfn.ISFORMULA(Tbl_B5_Help_01[[#This Row],[Full Start Date ("DDD, MMM D, YYYY") using Q1-4]]),EXACT(Tbl_B5_Help_01[[#This Row],[Full Start Date ("DDD, MMM D, YYYY") using Q1-4]],Tbl_B5_Help_01[[#This Row],[Full Start Date ("DDD, MMM D, YYYY") using Q1-4 ANS]])),Rng_Lkp_AnswerStatus_Good,Rng_Lkp_AnswerStatus_Bad)),Rng_Lkp_AnswerStatus_Bad)</calculatedColumnFormula>
    </tableColumn>
    <tableColumn id="25" xr3:uid="{5B8AC43D-528F-47F2-918A-DC038E8991D2}" name="Full Start Date (&quot;DDD, MMM D, YYYY&quot;) using Q1-4 ANS" dataDxfId="52" totalsRowDxfId="51">
      <calculatedColumnFormula>_xlfn.CONCAT(Tbl_B5_Help_01[[#This Row],[Start Weekday ("DDD") ANS]],", ",Tbl_B5_Help_01[[#This Row],[Start Month ("MMM") ANS]]," ",Tbl_B5_Help_01[[#This Row],[Start Day ("D") ANS]],", ",Tbl_B5_Help_01[[#This Row],[Start Year ("YYYY") ANS]])</calculatedColumnFormula>
    </tableColumn>
    <tableColumn id="16" xr3:uid="{C8049508-8BF0-4327-BB4A-9355E9FFAD50}" name="9 Months After Member Start Date" dataDxfId="50" dataCellStyle="Input"/>
    <tableColumn id="17" xr3:uid="{98F9554F-61D7-419B-94EB-FD2C3EF6B22B}" name="Answer Status Q07" dataDxfId="49">
      <calculatedColumnFormula>IFERROR(IF(Tbl_B5_Help_01[[#This Row],[9 Months After Member Start Date]]="","",IF(AND(_xlfn.ISFORMULA(Tbl_B5_Help_01[[#This Row],[9 Months After Member Start Date]]),EXACT(Tbl_B5_Help_01[[#This Row],[9 Months After Member Start Date]],Tbl_B5_Help_01[[#This Row],[9 Months After Member Start Date ANS]])),Rng_Lkp_AnswerStatus_Good,Rng_Lkp_AnswerStatus_Bad)),Rng_Lkp_AnswerStatus_Bad)</calculatedColumnFormula>
    </tableColumn>
    <tableColumn id="18" xr3:uid="{588BF577-6E4E-428F-BBF2-EB1B3CC58DEC}" name="9 Months After Member Start Date ANS" dataDxfId="48" dataCellStyle="Highlight Difference">
      <calculatedColumnFormula>EDATE(Tbl_B5_Help_01[[#This Row],[Member Start Date]],9)</calculatedColumnFormula>
    </tableColumn>
  </tableColumns>
  <tableStyleInfo name="Excel Minimal 03 Red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0983256-6C76-4024-AAEA-3DAB1D0E476D}" name="Tbl_BONUS_ComplexFormulas_01" displayName="Tbl_BONUS_ComplexFormulas_01" ref="B7:U17" headerRowDxfId="47" dataDxfId="45" headerRowBorderDxfId="46">
  <tableColumns count="20">
    <tableColumn id="2" xr3:uid="{1CD5F703-3B0D-40A6-B7E6-3D56393416CB}" name="Account ID" totalsRowLabel="Total" dataDxfId="44" totalsRowDxfId="43"/>
    <tableColumn id="3" xr3:uid="{80B7901E-279D-40DB-BC53-A10D88D231B1}" name="Full Name" dataDxfId="42"/>
    <tableColumn id="26" xr3:uid="{0DFF6832-B5AF-4E7D-905E-EE8657EADB85}" name="State" dataDxfId="41"/>
    <tableColumn id="27" xr3:uid="{8024B9D7-CA6E-4018-B8B5-77E64F6ACFDE}" name="Member Start Date" dataDxfId="40"/>
    <tableColumn id="19" xr3:uid="{85F7AAA7-43DE-4950-992C-966A7DB5FFD4}" name="Member Dues" dataDxfId="39"/>
    <tableColumn id="5" xr3:uid="{6125E9C4-B1BC-40A3-9E95-6D5822FFD835}" name="Single Formula - If Member started before 12/1/13, show &quot;Too early&quot;. Otherwise, if State starts with the letter &quot;N&quot;, show double the Member Dues. Otherwise, show Memer Dues." totalsRowFunction="count" dataDxfId="38" dataCellStyle="Input"/>
    <tableColumn id="1" xr3:uid="{3E45C887-6392-4800-9D95-5149D514B3A1}" name="Answer Status Q01" dataDxfId="37">
      <calculatedColumnFormula>IFERROR(IF(Tbl_BONUS_ComplexFormulas_01[[#This Row],[Single Formula - If Member started before 12/1/13, show "Too early". Otherwise, if State starts with the letter "N", show double the Member Dues. Otherwise, show Memer Dues.]]="","",IF(AND(_xlfn.ISFORMULA(Tbl_BONUS_ComplexFormulas_01[[#This Row],[Single Formula - If Member started before 12/1/13, show "Too early". Otherwise, if State starts with the letter "N", show double the Member Dues. Otherwise, show Memer Dues.]]),EXACT(Tbl_BONUS_ComplexFormulas_01[[#This Row],[Single Formula - If Member started before 12/1/13, show "Too early". Otherwise, if State starts with the letter "N", show double the Member Dues. Otherwise, show Memer Dues.]],Tbl_BONUS_ComplexFormulas_01[[#This Row],[Single Formula - If Member started before 12/1/13, show "Too early". Otherwise, if State starts with the letter "N", show double the Member Dues. Otherwise, show Memer Dues. ANS]])),Rng_Lkp_AnswerStatus_Good,Rng_Lkp_AnswerStatus_Bad)),Rng_Lkp_AnswerStatus_Bad)</calculatedColumnFormula>
    </tableColumn>
    <tableColumn id="6" xr3:uid="{B34C2F03-51F9-466D-8CE6-4EA0B3D1596B}" name="Single Formula - If Member started before 12/1/13, show &quot;Too early&quot;. Otherwise, if State starts with the letter &quot;N&quot;, show double the Member Dues. Otherwise, show Memer Dues. ANS" dataDxfId="36" dataCellStyle="Highlight Difference">
      <calculatedColumnFormula>IF(Tbl_BONUS_ComplexFormulas_01[[#This Row],[Member Start Date]]&lt;$G$6,"Too early",IF(LEFT(Tbl_BONUS_ComplexFormulas_01[[#This Row],[State]],1)="N",Tbl_BONUS_ComplexFormulas_01[[#This Row],[Member Dues]]*2,Tbl_BONUS_ComplexFormulas_01[[#This Row],[Member Dues]]))</calculatedColumnFormula>
    </tableColumn>
    <tableColumn id="7" xr3:uid="{E5073D5D-D632-47E2-BC45-99113E028B07}" name="Did Member start before 12/1/13 (T/F)" dataDxfId="35" dataCellStyle="Input"/>
    <tableColumn id="8" xr3:uid="{AA84861B-9395-4265-9B4D-8B06B58C9160}" name="Answer Status Q02" dataDxfId="34">
      <calculatedColumnFormula>IFERROR(IF(Tbl_BONUS_ComplexFormulas_01[[#This Row],[Did Member start before 12/1/13 (T/F)]]="","",IF(AND(_xlfn.ISFORMULA(Tbl_BONUS_ComplexFormulas_01[[#This Row],[Did Member start before 12/1/13 (T/F)]]),EXACT(Tbl_BONUS_ComplexFormulas_01[[#This Row],[Did Member start before 12/1/13 (T/F)]],Tbl_BONUS_ComplexFormulas_01[[#This Row],[Did Member start before 12/1/13 (T/F) ANS]])),Rng_Lkp_AnswerStatus_Good,Rng_Lkp_AnswerStatus_Bad)),Rng_Lkp_AnswerStatus_Bad)</calculatedColumnFormula>
    </tableColumn>
    <tableColumn id="9" xr3:uid="{E379F645-A9EC-49DE-B904-B6B9FFD6D032}" name="Did Member start before 12/1/13 (T/F) ANS" dataDxfId="33" dataCellStyle="Highlight Difference">
      <calculatedColumnFormula>Tbl_BONUS_ComplexFormulas_01[[#This Row],[Member Start Date]]&lt;$J$6</calculatedColumnFormula>
    </tableColumn>
    <tableColumn id="10" xr3:uid="{3670D976-C528-4BA9-B0A7-AC3FB227CB8A}" name="First Letter of State" dataDxfId="32"/>
    <tableColumn id="11" xr3:uid="{9A97078B-FBE9-4CE9-9C5A-4D308F347BE9}" name="Answer Status Q03" dataDxfId="31">
      <calculatedColumnFormula>IFERROR(IF(Tbl_BONUS_ComplexFormulas_01[[#This Row],[First Letter of State]]="","",IF(AND(_xlfn.ISFORMULA(Tbl_BONUS_ComplexFormulas_01[[#This Row],[First Letter of State]]),EXACT(Tbl_BONUS_ComplexFormulas_01[[#This Row],[First Letter of State]],Tbl_BONUS_ComplexFormulas_01[[#This Row],[First Letter of State ANS]])),Rng_Lkp_AnswerStatus_Good,Rng_Lkp_AnswerStatus_Bad)),Rng_Lkp_AnswerStatus_Bad)</calculatedColumnFormula>
    </tableColumn>
    <tableColumn id="12" xr3:uid="{3D14C5B6-7C30-4F9E-9283-28A9B297E51C}" name="First Letter of State ANS" dataDxfId="30">
      <calculatedColumnFormula>LEFT(Tbl_BONUS_ComplexFormulas_01[[#This Row],[State]],1)</calculatedColumnFormula>
    </tableColumn>
    <tableColumn id="13" xr3:uid="{BC9F726C-28C4-469C-8DF0-F6F0D07CD1B9}" name="Does State Start with &quot;N&quot; (T/F)" dataDxfId="29"/>
    <tableColumn id="14" xr3:uid="{A57D2FC4-1A8C-4CA8-AD14-22B45923851E}" name="Answer Status Q04" dataDxfId="28">
      <calculatedColumnFormula>IFERROR(IF(Tbl_BONUS_ComplexFormulas_01[[#This Row],[Does State Start with "N" (T/F)]]="","",IF(AND(_xlfn.ISFORMULA(Tbl_BONUS_ComplexFormulas_01[[#This Row],[Does State Start with "N" (T/F)]]),EXACT(Tbl_BONUS_ComplexFormulas_01[[#This Row],[Does State Start with "N" (T/F)]],Tbl_BONUS_ComplexFormulas_01[[#This Row],[Does State Start with "N" (T/F) ANS]])),Rng_Lkp_AnswerStatus_Good,Rng_Lkp_AnswerStatus_Bad)),Rng_Lkp_AnswerStatus_Bad)</calculatedColumnFormula>
    </tableColumn>
    <tableColumn id="15" xr3:uid="{5EE38F8B-A72E-4A9D-BE5E-792DC473A0B6}" name="Does State Start with &quot;N&quot; (T/F) ANS" dataDxfId="27">
      <calculatedColumnFormula>Tbl_BONUS_ComplexFormulas_01[[#This Row],[First Letter of State]]="N"</calculatedColumnFormula>
    </tableColumn>
    <tableColumn id="20" xr3:uid="{34AD9635-F3B6-484A-B126-59240132272D}" name="Using Helper Columns - If Member started before 12/1/13, show &quot;Too early&quot;. Otherwise, if State starts with the letter &quot;N&quot;, show double the Member Dues. Otherwise, show Memer Dues." dataDxfId="26"/>
    <tableColumn id="21" xr3:uid="{027D11CE-825B-4892-87E7-9242C921B397}" name="Answer Status Q05" dataDxfId="25">
      <calculatedColumnFormula>IFERROR(IF(Tbl_BONUS_ComplexFormulas_01[[#This Row],[Using Helper Columns - If Member started before 12/1/13, show "Too early". Otherwise, if State starts with the letter "N", show double the Member Dues. Otherwise, show Memer Dues.]]="","",IF(AND(_xlfn.ISFORMULA(Tbl_BONUS_ComplexFormulas_01[[#This Row],[Using Helper Columns - If Member started before 12/1/13, show "Too early". Otherwise, if State starts with the letter "N", show double the Member Dues. Otherwise, show Memer Dues.]]),EXACT(Tbl_BONUS_ComplexFormulas_01[[#This Row],[Using Helper Columns - If Member started before 12/1/13, show "Too early". Otherwise, if State starts with the letter "N", show double the Member Dues. Otherwise, show Memer Dues.]],Tbl_BONUS_ComplexFormulas_01[[#This Row],[Using Helper Columns - If Member started before 12/1/13, show "Too early". Otherwise, if State starts with the letter "N", show double the Member Dues. Otherwise, show Memer Dues. ANS]])),Rng_Lkp_AnswerStatus_Good,Rng_Lkp_AnswerStatus_Bad)),Rng_Lkp_AnswerStatus_Bad)</calculatedColumnFormula>
    </tableColumn>
    <tableColumn id="22" xr3:uid="{17E18233-A3EF-4B71-A58C-354F3DA5FB64}" name="Using Helper Columns - If Member started before 12/1/13, show &quot;Too early&quot;. Otherwise, if State starts with the letter &quot;N&quot;, show double the Member Dues. Otherwise, show Memer Dues. ANS" dataDxfId="24">
      <calculatedColumnFormula>IF(Tbl_BONUS_ComplexFormulas_01[[#This Row],[Did Member start before 12/1/13 (T/F)]],"Too early",IF(Tbl_BONUS_ComplexFormulas_01[[#This Row],[Does State Start with "N" (T/F)]],Tbl_BONUS_ComplexFormulas_01[[#This Row],[Member Dues]]*2,Tbl_BONUS_ComplexFormulas_01[[#This Row],[Member Dues]]))</calculatedColumnFormula>
    </tableColumn>
  </tableColumns>
  <tableStyleInfo name="Excel Minimal 08 Brown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A2C7441-ECBE-4085-B0DC-8767620C7246}" name="Tbl_Lkp_AnswerStatus" displayName="Tbl_Lkp_AnswerStatus" ref="A1:A3" totalsRowShown="0" headerRowDxfId="23" dataDxfId="21" headerRowBorderDxfId="22" dataCellStyle="Input">
  <tableColumns count="1">
    <tableColumn id="1" xr3:uid="{606B3AE7-9357-4585-9082-7623F6ECB3BD}" name="Answer Status" dataDxfId="20" dataCellStyle="Input"/>
  </tableColumns>
  <tableStyleInfo name="Shir Style 01 Gray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FB2BE6F-8AAD-4878-BA6D-A7550EE48C00}" name="Tbl_Lkp_FormulaElement" displayName="Tbl_Lkp_FormulaElement" ref="E1:E5" totalsRowShown="0" headerRowDxfId="19" headerRowBorderDxfId="18" dataCellStyle="Input">
  <tableColumns count="1">
    <tableColumn id="1" xr3:uid="{987B6ADC-72FA-4368-8406-3BF17F9519CD}" name="Formula Element" dataCellStyle="Input"/>
  </tableColumns>
  <tableStyleInfo name="Shir Style 01 Gray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Relationship Id="rId4" Type="http://schemas.openxmlformats.org/officeDocument/2006/relationships/table" Target="../tables/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B8D76-5D52-40A4-B578-E6F2E38F7537}">
  <sheetPr>
    <tabColor rgb="FFD6F6F5"/>
  </sheetPr>
  <dimension ref="B1:B17"/>
  <sheetViews>
    <sheetView showGridLines="0" tabSelected="1" zoomScaleNormal="100" workbookViewId="0"/>
  </sheetViews>
  <sheetFormatPr defaultColWidth="9.140625" defaultRowHeight="15" x14ac:dyDescent="0.25"/>
  <cols>
    <col min="1" max="1" width="2.5703125" style="1" customWidth="1"/>
    <col min="2" max="2" width="9.140625" style="1" customWidth="1"/>
    <col min="3" max="3" width="9.140625" style="1"/>
    <col min="4" max="4" width="9.140625" style="1" customWidth="1"/>
    <col min="5" max="16384" width="9.140625" style="1"/>
  </cols>
  <sheetData>
    <row r="1" spans="2:2" ht="6.95" customHeight="1" x14ac:dyDescent="0.25"/>
    <row r="5" spans="2:2" ht="6.95" customHeight="1" x14ac:dyDescent="0.25"/>
    <row r="6" spans="2:2" ht="46.5" x14ac:dyDescent="0.7">
      <c r="B6" s="2" t="s">
        <v>153</v>
      </c>
    </row>
    <row r="7" spans="2:2" ht="26.25" x14ac:dyDescent="0.4">
      <c r="B7" s="3" t="s">
        <v>0</v>
      </c>
    </row>
    <row r="8" spans="2:2" ht="6.95" customHeight="1" x14ac:dyDescent="0.25"/>
    <row r="9" spans="2:2" ht="21" x14ac:dyDescent="0.35">
      <c r="B9" s="6" t="s">
        <v>130</v>
      </c>
    </row>
    <row r="10" spans="2:2" ht="17.25" x14ac:dyDescent="0.3">
      <c r="B10" s="5" t="s">
        <v>121</v>
      </c>
    </row>
    <row r="11" spans="2:2" ht="17.25" x14ac:dyDescent="0.3">
      <c r="B11" s="5" t="s">
        <v>122</v>
      </c>
    </row>
    <row r="12" spans="2:2" ht="17.25" x14ac:dyDescent="0.3">
      <c r="B12" s="5" t="s">
        <v>123</v>
      </c>
    </row>
    <row r="13" spans="2:2" ht="17.25" x14ac:dyDescent="0.3">
      <c r="B13" s="5" t="s">
        <v>124</v>
      </c>
    </row>
    <row r="14" spans="2:2" ht="17.25" x14ac:dyDescent="0.3">
      <c r="B14" s="5" t="s">
        <v>138</v>
      </c>
    </row>
    <row r="15" spans="2:2" ht="6.95" customHeight="1" x14ac:dyDescent="0.25"/>
    <row r="16" spans="2:2" ht="17.25" x14ac:dyDescent="0.3">
      <c r="B16" s="7" t="s">
        <v>1</v>
      </c>
    </row>
    <row r="17" spans="2:2" ht="17.25" x14ac:dyDescent="0.3">
      <c r="B17" s="5" t="s">
        <v>152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CAB5B-CF38-4C66-AD23-831894DD4012}">
  <sheetPr>
    <tabColor theme="6"/>
  </sheetPr>
  <dimension ref="A1:G11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.140625" defaultRowHeight="15" outlineLevelRow="1" outlineLevelCol="1" x14ac:dyDescent="0.25"/>
  <cols>
    <col min="1" max="1" width="2.5703125" style="10" customWidth="1"/>
    <col min="2" max="2" width="6.140625" style="10" bestFit="1" customWidth="1"/>
    <col min="3" max="3" width="17.5703125" style="10" bestFit="1" customWidth="1"/>
    <col min="4" max="4" width="16.28515625" style="10" bestFit="1" customWidth="1"/>
    <col min="5" max="5" width="8.140625" style="10" bestFit="1" customWidth="1"/>
    <col min="6" max="6" width="16.28515625" style="10" hidden="1" customWidth="1" outlineLevel="1"/>
    <col min="7" max="7" width="9.140625" style="10" collapsed="1"/>
    <col min="8" max="16384" width="9.140625" style="10"/>
  </cols>
  <sheetData>
    <row r="1" spans="1:6" s="8" customFormat="1" ht="21" x14ac:dyDescent="0.35">
      <c r="A1" s="53"/>
      <c r="B1" s="4"/>
      <c r="D1" s="92" t="s">
        <v>97</v>
      </c>
    </row>
    <row r="2" spans="1:6" s="8" customFormat="1" ht="18.75" x14ac:dyDescent="0.3">
      <c r="A2" s="54"/>
      <c r="B2" s="9"/>
      <c r="D2" s="93" t="s">
        <v>55</v>
      </c>
    </row>
    <row r="3" spans="1:6" ht="6.95" customHeight="1" x14ac:dyDescent="0.25"/>
    <row r="4" spans="1:6" x14ac:dyDescent="0.25">
      <c r="C4" s="13" t="s">
        <v>102</v>
      </c>
      <c r="D4" s="26">
        <v>1</v>
      </c>
      <c r="E4" s="14"/>
      <c r="F4" s="14"/>
    </row>
    <row r="5" spans="1:6" hidden="1" outlineLevel="1" x14ac:dyDescent="0.25">
      <c r="B5" s="34" t="str">
        <f>IFERROR(IF(SUMIFS(D5:F5,D4:F4,"&gt;=0")=0,"",SUMIFS(D5:F5,D4:F4,"&gt;=0")/SUMIFS(D5:F5,D6:F6,"ANSWER")),"")</f>
        <v/>
      </c>
      <c r="C5" s="31" t="s">
        <v>28</v>
      </c>
      <c r="D5" s="32">
        <f>IFERROR(COUNTA(Tbl_A0_FormulaElementsIntro_01[Formula Element]),"")</f>
        <v>0</v>
      </c>
      <c r="E5" s="33">
        <f>IFERROR(COUNTIF(Tbl_A0_FormulaElementsIntro_01[Answer Status Q01],Rng_Lkp_AnswerStatus_Good),"")</f>
        <v>0</v>
      </c>
      <c r="F5" s="33">
        <f>IFERROR(COUNTA(Tbl_A0_FormulaElementsIntro_01[Formula Element ANS]),"")</f>
        <v>4</v>
      </c>
    </row>
    <row r="6" spans="1:6" collapsed="1" x14ac:dyDescent="0.25">
      <c r="B6" s="34" t="str">
        <f>IFERROR(IF(SUMIFS(D5:F5,D4:F4,"&gt;=0")=0,"",SUMIFS(D5:F5,D6:F6,"&gt;=0", D6:F6,"&lt;=1")/SUMIFS(D5:F5,D4:F4,"&gt;0")),"")</f>
        <v/>
      </c>
      <c r="C6" s="31" t="s">
        <v>29</v>
      </c>
      <c r="D6" s="55" t="s">
        <v>53</v>
      </c>
      <c r="E6" s="24" t="str">
        <f>IFERROR(E5/D5,"")</f>
        <v/>
      </c>
      <c r="F6" s="27" t="s">
        <v>11</v>
      </c>
    </row>
    <row r="7" spans="1:6" ht="45" x14ac:dyDescent="0.25">
      <c r="B7" s="17" t="s">
        <v>49</v>
      </c>
      <c r="C7" s="17" t="s">
        <v>54</v>
      </c>
      <c r="D7" s="25" t="s">
        <v>45</v>
      </c>
      <c r="E7" s="22" t="s">
        <v>18</v>
      </c>
      <c r="F7" s="28" t="s">
        <v>56</v>
      </c>
    </row>
    <row r="8" spans="1:6" x14ac:dyDescent="0.25">
      <c r="B8" s="11">
        <f t="shared" ref="B8:B11" si="0">ROW(B8)-ROW(B$7)</f>
        <v>1</v>
      </c>
      <c r="C8" s="52" t="s">
        <v>30</v>
      </c>
      <c r="D8" s="35"/>
      <c r="E8" s="23" t="str">
        <f>IFERROR(IF(Tbl_A0_FormulaElementsIntro_01[[#This Row],[Formula Element]]="","",IF(EXACT(Tbl_A0_FormulaElementsIntro_01[[#This Row],[Formula Element]],Tbl_A0_FormulaElementsIntro_01[[#This Row],[Formula Element ANS]]),Rng_Lkp_AnswerStatus_Good,Rng_Lkp_AnswerStatus_Bad)),Rng_Lkp_AnswerStatus_Bad)</f>
        <v/>
      </c>
      <c r="F8" s="37" t="s">
        <v>44</v>
      </c>
    </row>
    <row r="9" spans="1:6" x14ac:dyDescent="0.25">
      <c r="B9" s="11">
        <f t="shared" si="0"/>
        <v>2</v>
      </c>
      <c r="C9" s="52" t="s">
        <v>50</v>
      </c>
      <c r="D9" s="36"/>
      <c r="E9" s="23" t="str">
        <f>IFERROR(IF(Tbl_A0_FormulaElementsIntro_01[[#This Row],[Formula Element]]="","",IF(EXACT(Tbl_A0_FormulaElementsIntro_01[[#This Row],[Formula Element]],Tbl_A0_FormulaElementsIntro_01[[#This Row],[Formula Element ANS]]),Rng_Lkp_AnswerStatus_Good,Rng_Lkp_AnswerStatus_Bad)),Rng_Lkp_AnswerStatus_Bad)</f>
        <v/>
      </c>
      <c r="F9" s="37" t="s">
        <v>46</v>
      </c>
    </row>
    <row r="10" spans="1:6" x14ac:dyDescent="0.25">
      <c r="B10" s="11">
        <f t="shared" si="0"/>
        <v>3</v>
      </c>
      <c r="C10" s="52" t="s">
        <v>51</v>
      </c>
      <c r="D10" s="36"/>
      <c r="E10" s="23" t="str">
        <f>IFERROR(IF(Tbl_A0_FormulaElementsIntro_01[[#This Row],[Formula Element]]="","",IF(EXACT(Tbl_A0_FormulaElementsIntro_01[[#This Row],[Formula Element]],Tbl_A0_FormulaElementsIntro_01[[#This Row],[Formula Element ANS]]),Rng_Lkp_AnswerStatus_Good,Rng_Lkp_AnswerStatus_Bad)),Rng_Lkp_AnswerStatus_Bad)</f>
        <v/>
      </c>
      <c r="F10" s="37" t="s">
        <v>47</v>
      </c>
    </row>
    <row r="11" spans="1:6" x14ac:dyDescent="0.25">
      <c r="B11" s="11">
        <f t="shared" si="0"/>
        <v>4</v>
      </c>
      <c r="C11" s="52" t="s">
        <v>52</v>
      </c>
      <c r="D11" s="36"/>
      <c r="E11" s="23" t="str">
        <f>IFERROR(IF(Tbl_A0_FormulaElementsIntro_01[[#This Row],[Formula Element]]="","",IF(EXACT(Tbl_A0_FormulaElementsIntro_01[[#This Row],[Formula Element]],Tbl_A0_FormulaElementsIntro_01[[#This Row],[Formula Element ANS]]),Rng_Lkp_AnswerStatus_Good,Rng_Lkp_AnswerStatus_Bad)),Rng_Lkp_AnswerStatus_Bad)</f>
        <v/>
      </c>
      <c r="F11" s="37" t="s">
        <v>48</v>
      </c>
    </row>
  </sheetData>
  <conditionalFormatting sqref="B5:B6 E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B8:F11">
    <cfRule type="cellIs" dxfId="13" priority="2" operator="equal">
      <formula>Rng_Lkp_AnswerStatus_Bad</formula>
    </cfRule>
    <cfRule type="cellIs" dxfId="12" priority="3" operator="equal">
      <formula>Rng_Lkp_AnswerStatus_Good</formula>
    </cfRule>
  </conditionalFormatting>
  <dataValidations count="1">
    <dataValidation type="list" allowBlank="1" showInputMessage="1" showErrorMessage="1" errorTitle="Invalid Entry" error="Please choose one of the options from the dropdown list." sqref="D8:D11" xr:uid="{D077688C-641F-46F1-959D-7A50A485ABF0}">
      <formula1>Rng_Lkp_FormulaElement</formula1>
    </dataValidation>
  </dataValidations>
  <pageMargins left="0.7" right="0.7" top="0.75" bottom="0.75" header="0.3" footer="0.3"/>
  <pageSetup paperSize="121" orientation="portrait" horizontalDpi="300" verticalDpi="30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51CE9-F1A6-4929-B4CA-248AC34DCE09}">
  <sheetPr>
    <tabColor theme="6"/>
  </sheetPr>
  <dimension ref="A1:P15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.140625" defaultRowHeight="15" outlineLevelRow="1" outlineLevelCol="1" x14ac:dyDescent="0.25"/>
  <cols>
    <col min="1" max="1" width="2.5703125" style="10" customWidth="1"/>
    <col min="2" max="2" width="6.140625" style="10" bestFit="1" customWidth="1"/>
    <col min="3" max="3" width="28.5703125" style="10" bestFit="1" customWidth="1"/>
    <col min="4" max="4" width="11" style="10" bestFit="1" customWidth="1"/>
    <col min="5" max="5" width="8.140625" style="10" bestFit="1" customWidth="1"/>
    <col min="6" max="6" width="11.5703125" style="10" hidden="1" customWidth="1" outlineLevel="1"/>
    <col min="7" max="7" width="12.42578125" style="10" bestFit="1" customWidth="1" collapsed="1"/>
    <col min="8" max="8" width="8.140625" style="10" bestFit="1" customWidth="1"/>
    <col min="9" max="9" width="12.42578125" style="10" hidden="1" customWidth="1" outlineLevel="1"/>
    <col min="10" max="10" width="11.85546875" style="10" bestFit="1" customWidth="1" collapsed="1"/>
    <col min="11" max="11" width="8.140625" style="10" bestFit="1" customWidth="1"/>
    <col min="12" max="12" width="11.85546875" style="10" hidden="1" customWidth="1" outlineLevel="1"/>
    <col min="13" max="13" width="11.85546875" style="10" bestFit="1" customWidth="1" collapsed="1"/>
    <col min="14" max="14" width="8.140625" style="10" bestFit="1" customWidth="1"/>
    <col min="15" max="15" width="11.85546875" style="10" hidden="1" customWidth="1" outlineLevel="1"/>
    <col min="16" max="16" width="9.140625" style="10" collapsed="1"/>
    <col min="17" max="16384" width="9.140625" style="10"/>
  </cols>
  <sheetData>
    <row r="1" spans="1:15" s="8" customFormat="1" ht="21" x14ac:dyDescent="0.35">
      <c r="A1" s="65"/>
      <c r="B1" s="4"/>
      <c r="D1" s="92" t="s">
        <v>91</v>
      </c>
    </row>
    <row r="2" spans="1:15" s="8" customFormat="1" ht="18.75" x14ac:dyDescent="0.3">
      <c r="A2" s="66"/>
      <c r="B2" s="9"/>
      <c r="D2" s="93" t="s">
        <v>127</v>
      </c>
    </row>
    <row r="3" spans="1:15" ht="6.95" customHeight="1" x14ac:dyDescent="0.25"/>
    <row r="4" spans="1:15" x14ac:dyDescent="0.25">
      <c r="B4" s="63"/>
      <c r="C4" s="13" t="s">
        <v>102</v>
      </c>
      <c r="D4" s="26">
        <v>1</v>
      </c>
      <c r="E4" s="14"/>
      <c r="F4" s="14"/>
      <c r="G4" s="26">
        <v>2</v>
      </c>
      <c r="H4" s="64"/>
      <c r="I4" s="14"/>
      <c r="J4" s="26">
        <v>3</v>
      </c>
      <c r="K4" s="14"/>
      <c r="L4" s="14"/>
      <c r="M4" s="26">
        <v>4</v>
      </c>
      <c r="N4" s="14"/>
      <c r="O4" s="14"/>
    </row>
    <row r="5" spans="1:15" hidden="1" outlineLevel="1" x14ac:dyDescent="0.25">
      <c r="B5" s="34" t="str">
        <f>IFERROR(IF(SUMIFS(D5:O5,D4:O4,"&gt;=0")=0,"",SUMIFS(D5:O5,D4:O4,"&gt;=0")/SUMIFS(D5:O5,D6:O6,"ANSWER")),"")</f>
        <v/>
      </c>
      <c r="C5" s="31" t="s">
        <v>28</v>
      </c>
      <c r="D5" s="32">
        <f>IFERROR(COUNTA(Tbl_A1_FormulaElements_01[Contains Function(s) Y/N]),"")</f>
        <v>0</v>
      </c>
      <c r="E5" s="33">
        <f>IFERROR(COUNTIF(Tbl_A1_FormulaElements_01[Answer Status Q01],Rng_Lkp_AnswerStatus_Good),"")</f>
        <v>0</v>
      </c>
      <c r="F5" s="33">
        <f>IFERROR(COUNTA(Tbl_A1_FormulaElements_01[Contains Function(s) Y/N ANS]),"")</f>
        <v>8</v>
      </c>
      <c r="G5" s="32">
        <f>IFERROR(COUNTA(Tbl_A1_FormulaElements_01[Contains Reference(s) Y/N]),"")</f>
        <v>0</v>
      </c>
      <c r="H5" s="33">
        <f>IFERROR(COUNTIF(Tbl_A1_FormulaElements_01[Answer Status Q02],Rng_Lkp_AnswerStatus_Good),"")</f>
        <v>0</v>
      </c>
      <c r="I5" s="33">
        <f>IFERROR(COUNTA(Tbl_A1_FormulaElements_01[Contains Reference(s) Y/N ANS]),"")</f>
        <v>8</v>
      </c>
      <c r="J5" s="32">
        <f>IFERROR(COUNTA(Tbl_A1_FormulaElements_01[Contains Operator(s) Y/N]),"")</f>
        <v>0</v>
      </c>
      <c r="K5" s="33">
        <f>IFERROR(COUNTIF(Tbl_A1_FormulaElements_01[Answer Status Q03],Rng_Lkp_AnswerStatus_Good),"")</f>
        <v>0</v>
      </c>
      <c r="L5" s="33">
        <f>IFERROR(COUNTA(Tbl_A1_FormulaElements_01[Contains Operator(s) Y/N ANS]),"")</f>
        <v>8</v>
      </c>
      <c r="M5" s="32">
        <f>IFERROR(COUNTA(Tbl_A1_FormulaElements_01[Contains Constant(s) Y/N]),"")</f>
        <v>0</v>
      </c>
      <c r="N5" s="33">
        <f>IFERROR(COUNTIF(Tbl_A1_FormulaElements_01[Answer Status Q04],Rng_Lkp_AnswerStatus_Good),"")</f>
        <v>0</v>
      </c>
      <c r="O5" s="33">
        <f>IFERROR(COUNTA(Tbl_A1_FormulaElements_01[Contains Constant(s) Y/N ANS]),"")</f>
        <v>8</v>
      </c>
    </row>
    <row r="6" spans="1:15" collapsed="1" x14ac:dyDescent="0.25">
      <c r="B6" s="34" t="str">
        <f>IFERROR(IF(SUMIFS(D5:O5,D4:O4,"&gt;=0")=0,"",SUMIFS(D5:O5,D6:O6,"&gt;=0", D6:O6,"&lt;=1")/SUMIFS(D5:O5,D4:O4,"&gt;0")),"")</f>
        <v/>
      </c>
      <c r="C6" s="31" t="s">
        <v>29</v>
      </c>
      <c r="D6" s="62"/>
      <c r="E6" s="24" t="str">
        <f>IFERROR(E5/D5,"")</f>
        <v/>
      </c>
      <c r="F6" s="45" t="s">
        <v>11</v>
      </c>
      <c r="G6" s="62"/>
      <c r="H6" s="24" t="str">
        <f>IFERROR(H5/G5,"")</f>
        <v/>
      </c>
      <c r="I6" s="45" t="s">
        <v>11</v>
      </c>
      <c r="J6" s="62"/>
      <c r="K6" s="24" t="str">
        <f>IFERROR(K5/J5,"")</f>
        <v/>
      </c>
      <c r="L6" s="45" t="s">
        <v>11</v>
      </c>
      <c r="M6" s="62"/>
      <c r="N6" s="24" t="str">
        <f>IFERROR(N5/M5,"")</f>
        <v/>
      </c>
      <c r="O6" s="45" t="s">
        <v>11</v>
      </c>
    </row>
    <row r="7" spans="1:15" ht="45" x14ac:dyDescent="0.25">
      <c r="B7" s="17" t="s">
        <v>49</v>
      </c>
      <c r="C7" s="17" t="s">
        <v>71</v>
      </c>
      <c r="D7" s="43" t="s">
        <v>57</v>
      </c>
      <c r="E7" s="22" t="s">
        <v>18</v>
      </c>
      <c r="F7" s="44" t="s">
        <v>67</v>
      </c>
      <c r="G7" s="43" t="s">
        <v>58</v>
      </c>
      <c r="H7" s="22" t="s">
        <v>19</v>
      </c>
      <c r="I7" s="44" t="s">
        <v>68</v>
      </c>
      <c r="J7" s="43" t="s">
        <v>59</v>
      </c>
      <c r="K7" s="22" t="s">
        <v>20</v>
      </c>
      <c r="L7" s="44" t="s">
        <v>69</v>
      </c>
      <c r="M7" s="43" t="s">
        <v>60</v>
      </c>
      <c r="N7" s="22" t="s">
        <v>26</v>
      </c>
      <c r="O7" s="44" t="s">
        <v>70</v>
      </c>
    </row>
    <row r="8" spans="1:15" x14ac:dyDescent="0.25">
      <c r="B8" s="11">
        <f t="shared" ref="B8:B15" si="0">ROW(B8)-ROW(B$7)</f>
        <v>1</v>
      </c>
      <c r="C8" s="52" t="s">
        <v>62</v>
      </c>
      <c r="D8" s="58"/>
      <c r="E8" s="23" t="str">
        <f>IFERROR(IF(Tbl_A1_FormulaElements_01[[#This Row],[Contains Function(s) Y/N]]="","",IF(EXACT(Tbl_A1_FormulaElements_01[[#This Row],[Contains Function(s) Y/N]],Tbl_A1_FormulaElements_01[[#This Row],[Contains Function(s) Y/N ANS]]),Rng_Lkp_AnswerStatus_Good,Rng_Lkp_AnswerStatus_Bad)),Rng_Lkp_AnswerStatus_Bad)</f>
        <v/>
      </c>
      <c r="F8" s="60" t="s">
        <v>42</v>
      </c>
      <c r="G8" s="58"/>
      <c r="H8" s="23" t="str">
        <f>IFERROR(IF(Tbl_A1_FormulaElements_01[[#This Row],[Contains Reference(s) Y/N]]="","",IF(EXACT(Tbl_A1_FormulaElements_01[[#This Row],[Contains Reference(s) Y/N]],Tbl_A1_FormulaElements_01[[#This Row],[Contains Reference(s) Y/N ANS]]),Rng_Lkp_AnswerStatus_Good,Rng_Lkp_AnswerStatus_Bad)),Rng_Lkp_AnswerStatus_Bad)</f>
        <v/>
      </c>
      <c r="I8" s="60" t="s">
        <v>42</v>
      </c>
      <c r="J8" s="58"/>
      <c r="K8" s="23" t="str">
        <f>IFERROR(IF(Tbl_A1_FormulaElements_01[[#This Row],[Contains Operator(s) Y/N]]="","",IF(EXACT(Tbl_A1_FormulaElements_01[[#This Row],[Contains Operator(s) Y/N]],Tbl_A1_FormulaElements_01[[#This Row],[Contains Operator(s) Y/N ANS]]),Rng_Lkp_AnswerStatus_Good,Rng_Lkp_AnswerStatus_Bad)),Rng_Lkp_AnswerStatus_Bad)</f>
        <v/>
      </c>
      <c r="L8" s="60" t="s">
        <v>43</v>
      </c>
      <c r="M8" s="58"/>
      <c r="N8" s="23" t="str">
        <f>IFERROR(IF(Tbl_A1_FormulaElements_01[[#This Row],[Contains Constant(s) Y/N]]="","",IF(EXACT(Tbl_A1_FormulaElements_01[[#This Row],[Contains Constant(s) Y/N]],Tbl_A1_FormulaElements_01[[#This Row],[Contains Constant(s) Y/N ANS]]),Rng_Lkp_AnswerStatus_Good,Rng_Lkp_AnswerStatus_Bad)),Rng_Lkp_AnswerStatus_Bad)</f>
        <v/>
      </c>
      <c r="O8" s="60" t="s">
        <v>43</v>
      </c>
    </row>
    <row r="9" spans="1:15" x14ac:dyDescent="0.25">
      <c r="B9" s="11">
        <f t="shared" si="0"/>
        <v>2</v>
      </c>
      <c r="C9" s="52" t="s">
        <v>72</v>
      </c>
      <c r="D9" s="59"/>
      <c r="E9" s="23" t="str">
        <f>IFERROR(IF(Tbl_A1_FormulaElements_01[[#This Row],[Contains Function(s) Y/N]]="","",IF(EXACT(Tbl_A1_FormulaElements_01[[#This Row],[Contains Function(s) Y/N]],Tbl_A1_FormulaElements_01[[#This Row],[Contains Function(s) Y/N ANS]]),Rng_Lkp_AnswerStatus_Good,Rng_Lkp_AnswerStatus_Bad)),Rng_Lkp_AnswerStatus_Bad)</f>
        <v/>
      </c>
      <c r="F9" s="61" t="s">
        <v>42</v>
      </c>
      <c r="G9" s="59"/>
      <c r="H9" s="23" t="str">
        <f>IFERROR(IF(Tbl_A1_FormulaElements_01[[#This Row],[Contains Reference(s) Y/N]]="","",IF(EXACT(Tbl_A1_FormulaElements_01[[#This Row],[Contains Reference(s) Y/N]],Tbl_A1_FormulaElements_01[[#This Row],[Contains Reference(s) Y/N ANS]]),Rng_Lkp_AnswerStatus_Good,Rng_Lkp_AnswerStatus_Bad)),Rng_Lkp_AnswerStatus_Bad)</f>
        <v/>
      </c>
      <c r="I9" s="61" t="s">
        <v>43</v>
      </c>
      <c r="J9" s="59"/>
      <c r="K9" s="23" t="str">
        <f>IFERROR(IF(Tbl_A1_FormulaElements_01[[#This Row],[Contains Operator(s) Y/N]]="","",IF(EXACT(Tbl_A1_FormulaElements_01[[#This Row],[Contains Operator(s) Y/N]],Tbl_A1_FormulaElements_01[[#This Row],[Contains Operator(s) Y/N ANS]]),Rng_Lkp_AnswerStatus_Good,Rng_Lkp_AnswerStatus_Bad)),Rng_Lkp_AnswerStatus_Bad)</f>
        <v/>
      </c>
      <c r="L9" s="61" t="s">
        <v>43</v>
      </c>
      <c r="M9" s="59"/>
      <c r="N9" s="23" t="str">
        <f>IFERROR(IF(Tbl_A1_FormulaElements_01[[#This Row],[Contains Constant(s) Y/N]]="","",IF(EXACT(Tbl_A1_FormulaElements_01[[#This Row],[Contains Constant(s) Y/N]],Tbl_A1_FormulaElements_01[[#This Row],[Contains Constant(s) Y/N ANS]]),Rng_Lkp_AnswerStatus_Good,Rng_Lkp_AnswerStatus_Bad)),Rng_Lkp_AnswerStatus_Bad)</f>
        <v/>
      </c>
      <c r="O9" s="61" t="s">
        <v>42</v>
      </c>
    </row>
    <row r="10" spans="1:15" x14ac:dyDescent="0.25">
      <c r="B10" s="11">
        <f t="shared" si="0"/>
        <v>3</v>
      </c>
      <c r="C10" s="52" t="s">
        <v>73</v>
      </c>
      <c r="D10" s="59"/>
      <c r="E10" s="23" t="str">
        <f>IFERROR(IF(Tbl_A1_FormulaElements_01[[#This Row],[Contains Function(s) Y/N]]="","",IF(EXACT(Tbl_A1_FormulaElements_01[[#This Row],[Contains Function(s) Y/N]],Tbl_A1_FormulaElements_01[[#This Row],[Contains Function(s) Y/N ANS]]),Rng_Lkp_AnswerStatus_Good,Rng_Lkp_AnswerStatus_Bad)),Rng_Lkp_AnswerStatus_Bad)</f>
        <v/>
      </c>
      <c r="F10" s="61" t="s">
        <v>42</v>
      </c>
      <c r="G10" s="59"/>
      <c r="H10" s="23" t="str">
        <f>IFERROR(IF(Tbl_A1_FormulaElements_01[[#This Row],[Contains Reference(s) Y/N]]="","",IF(EXACT(Tbl_A1_FormulaElements_01[[#This Row],[Contains Reference(s) Y/N]],Tbl_A1_FormulaElements_01[[#This Row],[Contains Reference(s) Y/N ANS]]),Rng_Lkp_AnswerStatus_Good,Rng_Lkp_AnswerStatus_Bad)),Rng_Lkp_AnswerStatus_Bad)</f>
        <v/>
      </c>
      <c r="I10" s="61" t="s">
        <v>42</v>
      </c>
      <c r="J10" s="59"/>
      <c r="K10" s="23" t="str">
        <f>IFERROR(IF(Tbl_A1_FormulaElements_01[[#This Row],[Contains Operator(s) Y/N]]="","",IF(EXACT(Tbl_A1_FormulaElements_01[[#This Row],[Contains Operator(s) Y/N]],Tbl_A1_FormulaElements_01[[#This Row],[Contains Operator(s) Y/N ANS]]),Rng_Lkp_AnswerStatus_Good,Rng_Lkp_AnswerStatus_Bad)),Rng_Lkp_AnswerStatus_Bad)</f>
        <v/>
      </c>
      <c r="L10" s="61" t="s">
        <v>42</v>
      </c>
      <c r="M10" s="59"/>
      <c r="N10" s="23" t="str">
        <f>IFERROR(IF(Tbl_A1_FormulaElements_01[[#This Row],[Contains Constant(s) Y/N]]="","",IF(EXACT(Tbl_A1_FormulaElements_01[[#This Row],[Contains Constant(s) Y/N]],Tbl_A1_FormulaElements_01[[#This Row],[Contains Constant(s) Y/N ANS]]),Rng_Lkp_AnswerStatus_Good,Rng_Lkp_AnswerStatus_Bad)),Rng_Lkp_AnswerStatus_Bad)</f>
        <v/>
      </c>
      <c r="O10" s="61" t="s">
        <v>42</v>
      </c>
    </row>
    <row r="11" spans="1:15" x14ac:dyDescent="0.25">
      <c r="B11" s="11">
        <f t="shared" si="0"/>
        <v>4</v>
      </c>
      <c r="C11" s="52" t="s">
        <v>63</v>
      </c>
      <c r="D11" s="59"/>
      <c r="E11" s="23" t="str">
        <f>IFERROR(IF(Tbl_A1_FormulaElements_01[[#This Row],[Contains Function(s) Y/N]]="","",IF(EXACT(Tbl_A1_FormulaElements_01[[#This Row],[Contains Function(s) Y/N]],Tbl_A1_FormulaElements_01[[#This Row],[Contains Function(s) Y/N ANS]]),Rng_Lkp_AnswerStatus_Good,Rng_Lkp_AnswerStatus_Bad)),Rng_Lkp_AnswerStatus_Bad)</f>
        <v/>
      </c>
      <c r="F11" s="61" t="s">
        <v>43</v>
      </c>
      <c r="G11" s="59"/>
      <c r="H11" s="23" t="str">
        <f>IFERROR(IF(Tbl_A1_FormulaElements_01[[#This Row],[Contains Reference(s) Y/N]]="","",IF(EXACT(Tbl_A1_FormulaElements_01[[#This Row],[Contains Reference(s) Y/N]],Tbl_A1_FormulaElements_01[[#This Row],[Contains Reference(s) Y/N ANS]]),Rng_Lkp_AnswerStatus_Good,Rng_Lkp_AnswerStatus_Bad)),Rng_Lkp_AnswerStatus_Bad)</f>
        <v/>
      </c>
      <c r="I11" s="61" t="s">
        <v>42</v>
      </c>
      <c r="J11" s="59"/>
      <c r="K11" s="23" t="str">
        <f>IFERROR(IF(Tbl_A1_FormulaElements_01[[#This Row],[Contains Operator(s) Y/N]]="","",IF(EXACT(Tbl_A1_FormulaElements_01[[#This Row],[Contains Operator(s) Y/N]],Tbl_A1_FormulaElements_01[[#This Row],[Contains Operator(s) Y/N ANS]]),Rng_Lkp_AnswerStatus_Good,Rng_Lkp_AnswerStatus_Bad)),Rng_Lkp_AnswerStatus_Bad)</f>
        <v/>
      </c>
      <c r="L11" s="61" t="s">
        <v>42</v>
      </c>
      <c r="M11" s="59"/>
      <c r="N11" s="23" t="str">
        <f>IFERROR(IF(Tbl_A1_FormulaElements_01[[#This Row],[Contains Constant(s) Y/N]]="","",IF(EXACT(Tbl_A1_FormulaElements_01[[#This Row],[Contains Constant(s) Y/N]],Tbl_A1_FormulaElements_01[[#This Row],[Contains Constant(s) Y/N ANS]]),Rng_Lkp_AnswerStatus_Good,Rng_Lkp_AnswerStatus_Bad)),Rng_Lkp_AnswerStatus_Bad)</f>
        <v/>
      </c>
      <c r="O11" s="61" t="s">
        <v>43</v>
      </c>
    </row>
    <row r="12" spans="1:15" x14ac:dyDescent="0.25">
      <c r="B12" s="11">
        <f t="shared" si="0"/>
        <v>5</v>
      </c>
      <c r="C12" s="52" t="s">
        <v>74</v>
      </c>
      <c r="D12" s="58"/>
      <c r="E12" s="23" t="str">
        <f>IFERROR(IF(Tbl_A1_FormulaElements_01[[#This Row],[Contains Function(s) Y/N]]="","",IF(EXACT(Tbl_A1_FormulaElements_01[[#This Row],[Contains Function(s) Y/N]],Tbl_A1_FormulaElements_01[[#This Row],[Contains Function(s) Y/N ANS]]),Rng_Lkp_AnswerStatus_Good,Rng_Lkp_AnswerStatus_Bad)),Rng_Lkp_AnswerStatus_Bad)</f>
        <v/>
      </c>
      <c r="F12" s="61" t="s">
        <v>42</v>
      </c>
      <c r="G12" s="58"/>
      <c r="H12" s="23" t="str">
        <f>IFERROR(IF(Tbl_A1_FormulaElements_01[[#This Row],[Contains Reference(s) Y/N]]="","",IF(EXACT(Tbl_A1_FormulaElements_01[[#This Row],[Contains Reference(s) Y/N]],Tbl_A1_FormulaElements_01[[#This Row],[Contains Reference(s) Y/N ANS]]),Rng_Lkp_AnswerStatus_Good,Rng_Lkp_AnswerStatus_Bad)),Rng_Lkp_AnswerStatus_Bad)</f>
        <v/>
      </c>
      <c r="I12" s="61" t="s">
        <v>42</v>
      </c>
      <c r="J12" s="58"/>
      <c r="K12" s="23" t="str">
        <f>IFERROR(IF(Tbl_A1_FormulaElements_01[[#This Row],[Contains Operator(s) Y/N]]="","",IF(EXACT(Tbl_A1_FormulaElements_01[[#This Row],[Contains Operator(s) Y/N]],Tbl_A1_FormulaElements_01[[#This Row],[Contains Operator(s) Y/N ANS]]),Rng_Lkp_AnswerStatus_Good,Rng_Lkp_AnswerStatus_Bad)),Rng_Lkp_AnswerStatus_Bad)</f>
        <v/>
      </c>
      <c r="L12" s="61" t="s">
        <v>42</v>
      </c>
      <c r="M12" s="58"/>
      <c r="N12" s="23" t="str">
        <f>IFERROR(IF(Tbl_A1_FormulaElements_01[[#This Row],[Contains Constant(s) Y/N]]="","",IF(EXACT(Tbl_A1_FormulaElements_01[[#This Row],[Contains Constant(s) Y/N]],Tbl_A1_FormulaElements_01[[#This Row],[Contains Constant(s) Y/N ANS]]),Rng_Lkp_AnswerStatus_Good,Rng_Lkp_AnswerStatus_Bad)),Rng_Lkp_AnswerStatus_Bad)</f>
        <v/>
      </c>
      <c r="O12" s="61" t="s">
        <v>42</v>
      </c>
    </row>
    <row r="13" spans="1:15" x14ac:dyDescent="0.25">
      <c r="B13" s="11">
        <f t="shared" si="0"/>
        <v>6</v>
      </c>
      <c r="C13" s="52" t="s">
        <v>64</v>
      </c>
      <c r="D13" s="59"/>
      <c r="E13" s="23" t="str">
        <f>IFERROR(IF(Tbl_A1_FormulaElements_01[[#This Row],[Contains Function(s) Y/N]]="","",IF(EXACT(Tbl_A1_FormulaElements_01[[#This Row],[Contains Function(s) Y/N]],Tbl_A1_FormulaElements_01[[#This Row],[Contains Function(s) Y/N ANS]]),Rng_Lkp_AnswerStatus_Good,Rng_Lkp_AnswerStatus_Bad)),Rng_Lkp_AnswerStatus_Bad)</f>
        <v/>
      </c>
      <c r="F13" s="61" t="s">
        <v>43</v>
      </c>
      <c r="G13" s="59"/>
      <c r="H13" s="23" t="str">
        <f>IFERROR(IF(Tbl_A1_FormulaElements_01[[#This Row],[Contains Reference(s) Y/N]]="","",IF(EXACT(Tbl_A1_FormulaElements_01[[#This Row],[Contains Reference(s) Y/N]],Tbl_A1_FormulaElements_01[[#This Row],[Contains Reference(s) Y/N ANS]]),Rng_Lkp_AnswerStatus_Good,Rng_Lkp_AnswerStatus_Bad)),Rng_Lkp_AnswerStatus_Bad)</f>
        <v/>
      </c>
      <c r="I13" s="61" t="s">
        <v>42</v>
      </c>
      <c r="J13" s="59"/>
      <c r="K13" s="23" t="str">
        <f>IFERROR(IF(Tbl_A1_FormulaElements_01[[#This Row],[Contains Operator(s) Y/N]]="","",IF(EXACT(Tbl_A1_FormulaElements_01[[#This Row],[Contains Operator(s) Y/N]],Tbl_A1_FormulaElements_01[[#This Row],[Contains Operator(s) Y/N ANS]]),Rng_Lkp_AnswerStatus_Good,Rng_Lkp_AnswerStatus_Bad)),Rng_Lkp_AnswerStatus_Bad)</f>
        <v/>
      </c>
      <c r="L13" s="61" t="s">
        <v>42</v>
      </c>
      <c r="M13" s="59"/>
      <c r="N13" s="23" t="str">
        <f>IFERROR(IF(Tbl_A1_FormulaElements_01[[#This Row],[Contains Constant(s) Y/N]]="","",IF(EXACT(Tbl_A1_FormulaElements_01[[#This Row],[Contains Constant(s) Y/N]],Tbl_A1_FormulaElements_01[[#This Row],[Contains Constant(s) Y/N ANS]]),Rng_Lkp_AnswerStatus_Good,Rng_Lkp_AnswerStatus_Bad)),Rng_Lkp_AnswerStatus_Bad)</f>
        <v/>
      </c>
      <c r="O13" s="61" t="s">
        <v>42</v>
      </c>
    </row>
    <row r="14" spans="1:15" x14ac:dyDescent="0.25">
      <c r="B14" s="11">
        <f t="shared" si="0"/>
        <v>7</v>
      </c>
      <c r="C14" s="52" t="s">
        <v>65</v>
      </c>
      <c r="D14" s="59"/>
      <c r="E14" s="23" t="str">
        <f>IFERROR(IF(Tbl_A1_FormulaElements_01[[#This Row],[Contains Function(s) Y/N]]="","",IF(EXACT(Tbl_A1_FormulaElements_01[[#This Row],[Contains Function(s) Y/N]],Tbl_A1_FormulaElements_01[[#This Row],[Contains Function(s) Y/N ANS]]),Rng_Lkp_AnswerStatus_Good,Rng_Lkp_AnswerStatus_Bad)),Rng_Lkp_AnswerStatus_Bad)</f>
        <v/>
      </c>
      <c r="F14" s="61" t="s">
        <v>43</v>
      </c>
      <c r="G14" s="59"/>
      <c r="H14" s="23" t="str">
        <f>IFERROR(IF(Tbl_A1_FormulaElements_01[[#This Row],[Contains Reference(s) Y/N]]="","",IF(EXACT(Tbl_A1_FormulaElements_01[[#This Row],[Contains Reference(s) Y/N]],Tbl_A1_FormulaElements_01[[#This Row],[Contains Reference(s) Y/N ANS]]),Rng_Lkp_AnswerStatus_Good,Rng_Lkp_AnswerStatus_Bad)),Rng_Lkp_AnswerStatus_Bad)</f>
        <v/>
      </c>
      <c r="I14" s="61" t="s">
        <v>42</v>
      </c>
      <c r="J14" s="59"/>
      <c r="K14" s="23" t="str">
        <f>IFERROR(IF(Tbl_A1_FormulaElements_01[[#This Row],[Contains Operator(s) Y/N]]="","",IF(EXACT(Tbl_A1_FormulaElements_01[[#This Row],[Contains Operator(s) Y/N]],Tbl_A1_FormulaElements_01[[#This Row],[Contains Operator(s) Y/N ANS]]),Rng_Lkp_AnswerStatus_Good,Rng_Lkp_AnswerStatus_Bad)),Rng_Lkp_AnswerStatus_Bad)</f>
        <v/>
      </c>
      <c r="L14" s="61" t="s">
        <v>43</v>
      </c>
      <c r="M14" s="59"/>
      <c r="N14" s="23" t="str">
        <f>IFERROR(IF(Tbl_A1_FormulaElements_01[[#This Row],[Contains Constant(s) Y/N]]="","",IF(EXACT(Tbl_A1_FormulaElements_01[[#This Row],[Contains Constant(s) Y/N]],Tbl_A1_FormulaElements_01[[#This Row],[Contains Constant(s) Y/N ANS]]),Rng_Lkp_AnswerStatus_Good,Rng_Lkp_AnswerStatus_Bad)),Rng_Lkp_AnswerStatus_Bad)</f>
        <v/>
      </c>
      <c r="O14" s="61" t="s">
        <v>43</v>
      </c>
    </row>
    <row r="15" spans="1:15" x14ac:dyDescent="0.25">
      <c r="B15" s="11">
        <f t="shared" si="0"/>
        <v>8</v>
      </c>
      <c r="C15" s="52" t="s">
        <v>66</v>
      </c>
      <c r="D15" s="59"/>
      <c r="E15" s="23" t="str">
        <f>IFERROR(IF(Tbl_A1_FormulaElements_01[[#This Row],[Contains Function(s) Y/N]]="","",IF(EXACT(Tbl_A1_FormulaElements_01[[#This Row],[Contains Function(s) Y/N]],Tbl_A1_FormulaElements_01[[#This Row],[Contains Function(s) Y/N ANS]]),Rng_Lkp_AnswerStatus_Good,Rng_Lkp_AnswerStatus_Bad)),Rng_Lkp_AnswerStatus_Bad)</f>
        <v/>
      </c>
      <c r="F15" s="61" t="s">
        <v>43</v>
      </c>
      <c r="G15" s="59"/>
      <c r="H15" s="23" t="str">
        <f>IFERROR(IF(Tbl_A1_FormulaElements_01[[#This Row],[Contains Reference(s) Y/N]]="","",IF(EXACT(Tbl_A1_FormulaElements_01[[#This Row],[Contains Reference(s) Y/N]],Tbl_A1_FormulaElements_01[[#This Row],[Contains Reference(s) Y/N ANS]]),Rng_Lkp_AnswerStatus_Good,Rng_Lkp_AnswerStatus_Bad)),Rng_Lkp_AnswerStatus_Bad)</f>
        <v/>
      </c>
      <c r="I15" s="61" t="s">
        <v>43</v>
      </c>
      <c r="J15" s="59"/>
      <c r="K15" s="23" t="str">
        <f>IFERROR(IF(Tbl_A1_FormulaElements_01[[#This Row],[Contains Operator(s) Y/N]]="","",IF(EXACT(Tbl_A1_FormulaElements_01[[#This Row],[Contains Operator(s) Y/N]],Tbl_A1_FormulaElements_01[[#This Row],[Contains Operator(s) Y/N ANS]]),Rng_Lkp_AnswerStatus_Good,Rng_Lkp_AnswerStatus_Bad)),Rng_Lkp_AnswerStatus_Bad)</f>
        <v/>
      </c>
      <c r="L15" s="61" t="s">
        <v>43</v>
      </c>
      <c r="M15" s="59"/>
      <c r="N15" s="23" t="str">
        <f>IFERROR(IF(Tbl_A1_FormulaElements_01[[#This Row],[Contains Constant(s) Y/N]]="","",IF(EXACT(Tbl_A1_FormulaElements_01[[#This Row],[Contains Constant(s) Y/N]],Tbl_A1_FormulaElements_01[[#This Row],[Contains Constant(s) Y/N ANS]]),Rng_Lkp_AnswerStatus_Good,Rng_Lkp_AnswerStatus_Bad)),Rng_Lkp_AnswerStatus_Bad)</f>
        <v/>
      </c>
      <c r="O15" s="61" t="s">
        <v>42</v>
      </c>
    </row>
  </sheetData>
  <conditionalFormatting sqref="B5:B6 E6 H6 K6 N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B8:O15">
    <cfRule type="cellIs" dxfId="11" priority="2" operator="equal">
      <formula>Rng_Lkp_AnswerStatus_Bad</formula>
    </cfRule>
    <cfRule type="cellIs" dxfId="10" priority="3" operator="equal">
      <formula>Rng_Lkp_AnswerStatus_Good</formula>
    </cfRule>
  </conditionalFormatting>
  <dataValidations count="1">
    <dataValidation type="list" allowBlank="1" showInputMessage="1" showErrorMessage="1" errorTitle="Invalid Entry" error="Please choose one of the options from the dropdown list." sqref="D8:D15 G8:G15 J8:J15 M8:M15" xr:uid="{36C295D1-2895-455A-8754-98DC9529F8CC}">
      <formula1>Rng_Lkp_YN</formula1>
    </dataValidation>
  </dataValidations>
  <pageMargins left="0.7" right="0.7" top="0.75" bottom="0.75" header="0.3" footer="0.3"/>
  <pageSetup paperSize="121" orientation="portrait" horizontalDpi="300" verticalDpi="3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03EDF-5A19-401D-8102-DCE41E5B2018}">
  <sheetPr>
    <tabColor theme="7"/>
  </sheetPr>
  <dimension ref="A1:X17"/>
  <sheetViews>
    <sheetView showGridLines="0" zoomScaleNormal="100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F8" sqref="F8"/>
    </sheetView>
  </sheetViews>
  <sheetFormatPr defaultColWidth="9.140625" defaultRowHeight="15" outlineLevelRow="1" outlineLevelCol="1" x14ac:dyDescent="0.25"/>
  <cols>
    <col min="1" max="1" width="2.5703125" style="10" customWidth="1"/>
    <col min="2" max="2" width="8.140625" style="10" bestFit="1" customWidth="1"/>
    <col min="3" max="3" width="13.85546875" style="10" bestFit="1" customWidth="1"/>
    <col min="4" max="5" width="8.7109375" style="10" bestFit="1" customWidth="1"/>
    <col min="6" max="6" width="12.140625" style="10" bestFit="1" customWidth="1"/>
    <col min="7" max="7" width="8.140625" style="10" bestFit="1" customWidth="1"/>
    <col min="8" max="8" width="10.28515625" style="10" hidden="1" customWidth="1" outlineLevel="1"/>
    <col min="9" max="9" width="10.7109375" style="10" bestFit="1" customWidth="1" collapsed="1"/>
    <col min="10" max="10" width="8.140625" style="10" bestFit="1" customWidth="1"/>
    <col min="11" max="11" width="10.7109375" style="10" hidden="1" customWidth="1" outlineLevel="1"/>
    <col min="12" max="12" width="10.7109375" style="10" customWidth="1" collapsed="1"/>
    <col min="13" max="13" width="8.140625" style="10" bestFit="1" customWidth="1"/>
    <col min="14" max="14" width="13.85546875" style="10" hidden="1" customWidth="1" outlineLevel="1"/>
    <col min="15" max="15" width="7.7109375" style="10" customWidth="1" collapsed="1"/>
    <col min="16" max="16" width="8.140625" style="10" bestFit="1" customWidth="1"/>
    <col min="17" max="17" width="8.85546875" style="10" hidden="1" customWidth="1" outlineLevel="1"/>
    <col min="18" max="18" width="8.7109375" style="10" customWidth="1" collapsed="1"/>
    <col min="19" max="19" width="8.140625" style="10" bestFit="1" customWidth="1"/>
    <col min="20" max="20" width="9.7109375" style="10" hidden="1" customWidth="1" outlineLevel="1"/>
    <col min="21" max="21" width="22.7109375" style="10" bestFit="1" customWidth="1" collapsed="1"/>
    <col min="22" max="22" width="8.140625" style="10" bestFit="1" customWidth="1"/>
    <col min="23" max="23" width="23.42578125" style="10" hidden="1" customWidth="1" outlineLevel="1"/>
    <col min="24" max="24" width="9.140625" style="10" collapsed="1"/>
    <col min="25" max="16384" width="9.140625" style="10"/>
  </cols>
  <sheetData>
    <row r="1" spans="1:23" s="8" customFormat="1" ht="21" x14ac:dyDescent="0.35">
      <c r="A1" s="82"/>
      <c r="B1" s="4"/>
      <c r="F1" s="92" t="s">
        <v>93</v>
      </c>
    </row>
    <row r="2" spans="1:23" s="8" customFormat="1" ht="18.75" x14ac:dyDescent="0.3">
      <c r="A2" s="83"/>
      <c r="B2" s="9"/>
      <c r="F2" s="93" t="s">
        <v>126</v>
      </c>
    </row>
    <row r="3" spans="1:23" ht="6.95" customHeight="1" x14ac:dyDescent="0.25"/>
    <row r="4" spans="1:23" x14ac:dyDescent="0.25">
      <c r="E4" s="13" t="s">
        <v>102</v>
      </c>
      <c r="F4" s="26">
        <v>1</v>
      </c>
      <c r="G4" s="14"/>
      <c r="H4" s="14"/>
      <c r="I4" s="26">
        <v>2</v>
      </c>
      <c r="J4" s="14"/>
      <c r="K4" s="14"/>
      <c r="L4" s="26">
        <v>3</v>
      </c>
      <c r="M4" s="14"/>
      <c r="N4" s="14"/>
      <c r="O4" s="26">
        <v>4</v>
      </c>
      <c r="P4" s="14"/>
      <c r="Q4" s="14"/>
      <c r="R4" s="26">
        <v>5</v>
      </c>
      <c r="S4" s="14"/>
      <c r="T4" s="14"/>
      <c r="U4" s="26">
        <v>6</v>
      </c>
      <c r="V4" s="14"/>
      <c r="W4" s="14"/>
    </row>
    <row r="5" spans="1:23" hidden="1" outlineLevel="1" x14ac:dyDescent="0.25">
      <c r="B5" s="34" t="str">
        <f>IFERROR(IF(SUMIFS(F5:T5,F4:T4,"&gt;=0")=0,"",SUMIFS(F5:T5,F4:T4,"&gt;=0")/SUMIFS(F5:T5,F6:T6,"ANSWER")),"")</f>
        <v/>
      </c>
      <c r="C5" s="31" t="s">
        <v>28</v>
      </c>
      <c r="D5" s="13"/>
      <c r="E5" s="13"/>
      <c r="F5" s="32">
        <f>IFERROR(COUNTA(Tbl_A2_Syntax_01[% Change (Y2 - Y1) / Y1]),"")</f>
        <v>0</v>
      </c>
      <c r="G5" s="33">
        <f>IFERROR(COUNTIF(Tbl_A2_Syntax_01[Answer Status Q01],Rng_Lkp_AnswerStatus_Good),"")</f>
        <v>0</v>
      </c>
      <c r="H5" s="33">
        <f>IFERROR(COUNTA(Tbl_A2_Syntax_01[% Change (Y2 - Y1) / Y1 ANS]),"")</f>
        <v>10</v>
      </c>
      <c r="I5" s="32">
        <f>IFERROR(COUNTA(Tbl_A2_Syntax_01[Member Dues Y1^2]),"")</f>
        <v>0</v>
      </c>
      <c r="J5" s="33">
        <f>IFERROR(COUNTIF(Tbl_A2_Syntax_01[Answer Status Q02],Rng_Lkp_AnswerStatus_Good),"")</f>
        <v>0</v>
      </c>
      <c r="K5" s="33">
        <f>IFERROR(COUNTA(Tbl_A2_Syntax_01[Member Dues Y1^2 ANS]),"")</f>
        <v>10</v>
      </c>
      <c r="L5" s="32">
        <f>IFERROR(COUNTA(Tbl_A2_Syntax_01[Is Y1 Less Than or Equal to Y2]),"")</f>
        <v>0</v>
      </c>
      <c r="M5" s="33">
        <f>IFERROR(COUNTIF(Tbl_A2_Syntax_01[Answer Status Q03],Rng_Lkp_AnswerStatus_Good),"")</f>
        <v>0</v>
      </c>
      <c r="N5" s="33">
        <f>IFERROR(COUNTA(Tbl_A2_Syntax_01[Is Y1 Less Than or Equal to Y2 ANS]),"")</f>
        <v>10</v>
      </c>
      <c r="O5" s="32">
        <f>IFERROR(COUNTA(Tbl_A2_Syntax_01[Is Y1 Equal to Y2]),"")</f>
        <v>0</v>
      </c>
      <c r="P5" s="33">
        <f>IFERROR(COUNTIF(Tbl_A2_Syntax_01[Answer Status Q04],Rng_Lkp_AnswerStatus_Good),"")</f>
        <v>0</v>
      </c>
      <c r="Q5" s="33">
        <f>IFERROR(COUNTA(Tbl_A2_Syntax_01[Is Y1 Equal to Y2 ANS]),"")</f>
        <v>10</v>
      </c>
      <c r="R5" s="32">
        <f>IFERROR(COUNTA(Tbl_A2_Syntax_01[Is Y1 Not Equal to Y2]),"")</f>
        <v>0</v>
      </c>
      <c r="S5" s="33">
        <f>IFERROR(COUNTIF(Tbl_A2_Syntax_01[Answer Status Q05],Rng_Lkp_AnswerStatus_Good),"")</f>
        <v>0</v>
      </c>
      <c r="T5" s="33">
        <f>IFERROR(COUNTA(Tbl_A2_Syntax_01[Is Y1 Not Equal to Y2 ANS]),"")</f>
        <v>10</v>
      </c>
      <c r="U5" s="32">
        <f>IFERROR(COUNTA(Tbl_A2_Syntax_01[Account ID: Full Name]),"")</f>
        <v>0</v>
      </c>
      <c r="V5" s="33">
        <f>IFERROR(COUNTIF(Tbl_A2_Syntax_01[Answer Status Q06],Rng_Lkp_AnswerStatus_Good),"")</f>
        <v>0</v>
      </c>
      <c r="W5" s="33">
        <f>IFERROR(COUNTA(Tbl_A2_Syntax_01[Account ID: Full Name ANS]),"")</f>
        <v>10</v>
      </c>
    </row>
    <row r="6" spans="1:23" collapsed="1" x14ac:dyDescent="0.25">
      <c r="B6" s="34" t="str">
        <f>IFERROR(IF(SUMIFS(F5:T5,F4:T4,"&gt;=0")=0,"",SUMIFS(F5:T5,F6:T6,"&gt;=0", F6:T6,"&lt;=1")/SUMIFS(F5:T5,F4:T4,"&gt;0")),"")</f>
        <v/>
      </c>
      <c r="C6" s="31" t="s">
        <v>29</v>
      </c>
      <c r="F6" s="69" t="s">
        <v>76</v>
      </c>
      <c r="G6" s="24" t="str">
        <f>IFERROR(G5/F5,"")</f>
        <v/>
      </c>
      <c r="H6" s="15" t="s">
        <v>11</v>
      </c>
      <c r="I6" s="18" t="s">
        <v>77</v>
      </c>
      <c r="J6" s="24" t="str">
        <f>IFERROR(J5/I5,"")</f>
        <v/>
      </c>
      <c r="K6" s="15" t="s">
        <v>11</v>
      </c>
      <c r="L6" s="18" t="s">
        <v>79</v>
      </c>
      <c r="M6" s="24" t="str">
        <f>IFERROR(M5/L5,"")</f>
        <v/>
      </c>
      <c r="N6" s="45" t="s">
        <v>11</v>
      </c>
      <c r="O6" s="69" t="s">
        <v>83</v>
      </c>
      <c r="P6" s="24" t="str">
        <f>IFERROR(P5/O5,"")</f>
        <v/>
      </c>
      <c r="Q6" s="45" t="s">
        <v>11</v>
      </c>
      <c r="R6" s="18" t="s">
        <v>86</v>
      </c>
      <c r="S6" s="24" t="str">
        <f>IFERROR(S5/R5,"")</f>
        <v/>
      </c>
      <c r="T6" s="45" t="s">
        <v>11</v>
      </c>
      <c r="U6" s="18" t="s">
        <v>87</v>
      </c>
      <c r="V6" s="24" t="str">
        <f>IFERROR(V5/U5,"")</f>
        <v/>
      </c>
      <c r="W6" s="27" t="s">
        <v>11</v>
      </c>
    </row>
    <row r="7" spans="1:23" ht="45" x14ac:dyDescent="0.25">
      <c r="B7" s="17" t="s">
        <v>2</v>
      </c>
      <c r="C7" s="17" t="s">
        <v>3</v>
      </c>
      <c r="D7" s="38" t="s">
        <v>94</v>
      </c>
      <c r="E7" s="38" t="s">
        <v>95</v>
      </c>
      <c r="F7" s="19" t="s">
        <v>75</v>
      </c>
      <c r="G7" s="22" t="s">
        <v>18</v>
      </c>
      <c r="H7" s="20" t="s">
        <v>78</v>
      </c>
      <c r="I7" s="19" t="s">
        <v>96</v>
      </c>
      <c r="J7" s="22" t="s">
        <v>19</v>
      </c>
      <c r="K7" s="20" t="s">
        <v>125</v>
      </c>
      <c r="L7" s="43" t="s">
        <v>80</v>
      </c>
      <c r="M7" s="22" t="s">
        <v>20</v>
      </c>
      <c r="N7" s="44" t="s">
        <v>81</v>
      </c>
      <c r="O7" s="43" t="s">
        <v>82</v>
      </c>
      <c r="P7" s="22" t="s">
        <v>26</v>
      </c>
      <c r="Q7" s="44" t="s">
        <v>84</v>
      </c>
      <c r="R7" s="46" t="s">
        <v>85</v>
      </c>
      <c r="S7" s="40" t="s">
        <v>31</v>
      </c>
      <c r="T7" s="47" t="s">
        <v>88</v>
      </c>
      <c r="U7" s="72" t="s">
        <v>89</v>
      </c>
      <c r="V7" s="40" t="s">
        <v>32</v>
      </c>
      <c r="W7" s="74" t="s">
        <v>90</v>
      </c>
    </row>
    <row r="8" spans="1:23" x14ac:dyDescent="0.25">
      <c r="B8" s="11">
        <v>4405</v>
      </c>
      <c r="C8" s="12" t="s">
        <v>108</v>
      </c>
      <c r="D8" s="76">
        <v>1000</v>
      </c>
      <c r="E8" s="76">
        <v>1100</v>
      </c>
      <c r="F8" s="67"/>
      <c r="G8" s="23" t="str">
        <f>IFERROR(IF(Tbl_A2_Syntax_01[[#This Row],[% Change (Y2 - Y1) / Y1]]="","",IF(AND(_xlfn.ISFORMULA(Tbl_A2_Syntax_01[[#This Row],[% Change (Y2 - Y1) / Y1]]),EXACT(Tbl_A2_Syntax_01[[#This Row],[% Change (Y2 - Y1) / Y1]],Tbl_A2_Syntax_01[[#This Row],[% Change (Y2 - Y1) / Y1 ANS]])),Rng_Lkp_AnswerStatus_Good,Rng_Lkp_AnswerStatus_Bad)),Rng_Lkp_AnswerStatus_Bad)</f>
        <v/>
      </c>
      <c r="H8" s="39">
        <f>(Tbl_A2_Syntax_01[[#This Row],[Member Dues Year 2]]-Tbl_A2_Syntax_01[[#This Row],[Member Dues Year 1]])/Tbl_A2_Syntax_01[[#This Row],[Member Dues Year 1]]</f>
        <v>0.1</v>
      </c>
      <c r="I8" s="89"/>
      <c r="J8" s="23" t="str">
        <f>IFERROR(IF(Tbl_A2_Syntax_01[[#This Row],[Member Dues Y1^2]]="","",IF(AND(_xlfn.ISFORMULA(Tbl_A2_Syntax_01[[#This Row],[Member Dues Y1^2]]),EXACT(Tbl_A2_Syntax_01[[#This Row],[Member Dues Y1^2]],Tbl_A2_Syntax_01[[#This Row],[Member Dues Y1^2 ANS]])),Rng_Lkp_AnswerStatus_Good,Rng_Lkp_AnswerStatus_Bad)),Rng_Lkp_AnswerStatus_Bad)</f>
        <v/>
      </c>
      <c r="K8" s="91">
        <f>Tbl_A2_Syntax_01[[#This Row],[Member Dues Year 1]]^2</f>
        <v>1000000</v>
      </c>
      <c r="L8" s="70"/>
      <c r="M8" s="23" t="str">
        <f>IFERROR(IF(Tbl_A2_Syntax_01[[#This Row],[Is Y1 Less Than or Equal to Y2]]="","",IF(AND(_xlfn.ISFORMULA(Tbl_A2_Syntax_01[[#This Row],[Is Y1 Less Than or Equal to Y2]]),EXACT(Tbl_A2_Syntax_01[[#This Row],[Is Y1 Less Than or Equal to Y2]],Tbl_A2_Syntax_01[[#This Row],[Is Y1 Less Than or Equal to Y2 ANS]])),Rng_Lkp_AnswerStatus_Good,Rng_Lkp_AnswerStatus_Bad)),Rng_Lkp_AnswerStatus_Bad)</f>
        <v/>
      </c>
      <c r="N8" s="21" t="b">
        <f>Tbl_A2_Syntax_01[[#This Row],[Member Dues Year 1]]&lt;=Tbl_A2_Syntax_01[[#This Row],[Member Dues Year 2]]</f>
        <v>1</v>
      </c>
      <c r="O8" s="70"/>
      <c r="P8" s="23" t="str">
        <f>IFERROR(IF(Tbl_A2_Syntax_01[[#This Row],[Is Y1 Equal to Y2]]="","",IF(AND(_xlfn.ISFORMULA(Tbl_A2_Syntax_01[[#This Row],[Is Y1 Equal to Y2]]),EXACT(Tbl_A2_Syntax_01[[#This Row],[Is Y1 Equal to Y2]],Tbl_A2_Syntax_01[[#This Row],[Is Y1 Equal to Y2 ANS]])),Rng_Lkp_AnswerStatus_Good,Rng_Lkp_AnswerStatus_Bad)),Rng_Lkp_AnswerStatus_Bad)</f>
        <v/>
      </c>
      <c r="Q8" s="71" t="b">
        <f>Tbl_A2_Syntax_01[[#This Row],[Member Dues Year 1]]=Tbl_A2_Syntax_01[[#This Row],[Member Dues Year 2]]</f>
        <v>0</v>
      </c>
      <c r="R8" s="70"/>
      <c r="S8" s="23" t="str">
        <f>IFERROR(IF(Tbl_A2_Syntax_01[[#This Row],[Is Y1 Not Equal to Y2]]="","",IF(AND(_xlfn.ISFORMULA(Tbl_A2_Syntax_01[[#This Row],[Is Y1 Not Equal to Y2]]),EXACT(Tbl_A2_Syntax_01[[#This Row],[Is Y1 Not Equal to Y2]],Tbl_A2_Syntax_01[[#This Row],[Is Y1 Not Equal to Y2 ANS]])),Rng_Lkp_AnswerStatus_Good,Rng_Lkp_AnswerStatus_Bad)),Rng_Lkp_AnswerStatus_Bad)</f>
        <v/>
      </c>
      <c r="T8" s="71" t="b">
        <f>Tbl_A2_Syntax_01[[#This Row],[Member Dues Year 1]]&lt;&gt;Tbl_A2_Syntax_01[[#This Row],[Member Dues Year 2]]</f>
        <v>1</v>
      </c>
      <c r="U8" s="73"/>
      <c r="V8" s="23" t="str">
        <f>IFERROR(IF(Tbl_A2_Syntax_01[[#This Row],[Account ID: Full Name]]="","",IF(AND(_xlfn.ISFORMULA(Tbl_A2_Syntax_01[[#This Row],[Account ID: Full Name]]),EXACT(Tbl_A2_Syntax_01[[#This Row],[Account ID: Full Name]],Tbl_A2_Syntax_01[[#This Row],[Account ID: Full Name ANS]])),Rng_Lkp_AnswerStatus_Good,Rng_Lkp_AnswerStatus_Bad)),Rng_Lkp_AnswerStatus_Bad)</f>
        <v/>
      </c>
      <c r="W8" s="75" t="str">
        <f>Tbl_A2_Syntax_01[[#This Row],[Account ID]] &amp; ": " &amp; Tbl_A2_Syntax_01[[#This Row],[Full Name]]</f>
        <v>4405: Tammy Ward</v>
      </c>
    </row>
    <row r="9" spans="1:23" x14ac:dyDescent="0.25">
      <c r="B9" s="11">
        <v>1030</v>
      </c>
      <c r="C9" s="12" t="s">
        <v>4</v>
      </c>
      <c r="D9" s="76">
        <v>750</v>
      </c>
      <c r="E9" s="76">
        <v>800</v>
      </c>
      <c r="F9" s="68"/>
      <c r="G9" s="23" t="str">
        <f>IFERROR(IF(Tbl_A2_Syntax_01[[#This Row],[% Change (Y2 - Y1) / Y1]]="","",IF(AND(_xlfn.ISFORMULA(Tbl_A2_Syntax_01[[#This Row],[% Change (Y2 - Y1) / Y1]]),EXACT(Tbl_A2_Syntax_01[[#This Row],[% Change (Y2 - Y1) / Y1]],Tbl_A2_Syntax_01[[#This Row],[% Change (Y2 - Y1) / Y1 ANS]])),Rng_Lkp_AnswerStatus_Good,Rng_Lkp_AnswerStatus_Bad)),Rng_Lkp_AnswerStatus_Bad)</f>
        <v/>
      </c>
      <c r="H9" s="39">
        <f>(Tbl_A2_Syntax_01[[#This Row],[Member Dues Year 2]]-Tbl_A2_Syntax_01[[#This Row],[Member Dues Year 1]])/Tbl_A2_Syntax_01[[#This Row],[Member Dues Year 1]]</f>
        <v>6.6666666666666666E-2</v>
      </c>
      <c r="I9" s="90"/>
      <c r="J9" s="23" t="str">
        <f>IFERROR(IF(Tbl_A2_Syntax_01[[#This Row],[Member Dues Y1^2]]="","",IF(AND(_xlfn.ISFORMULA(Tbl_A2_Syntax_01[[#This Row],[Member Dues Y1^2]]),EXACT(Tbl_A2_Syntax_01[[#This Row],[Member Dues Y1^2]],Tbl_A2_Syntax_01[[#This Row],[Member Dues Y1^2 ANS]])),Rng_Lkp_AnswerStatus_Good,Rng_Lkp_AnswerStatus_Bad)),Rng_Lkp_AnswerStatus_Bad)</f>
        <v/>
      </c>
      <c r="K9" s="91">
        <f>Tbl_A2_Syntax_01[[#This Row],[Member Dues Year 1]]^2</f>
        <v>562500</v>
      </c>
      <c r="L9" s="70"/>
      <c r="M9" s="23" t="str">
        <f>IFERROR(IF(Tbl_A2_Syntax_01[[#This Row],[Is Y1 Less Than or Equal to Y2]]="","",IF(AND(_xlfn.ISFORMULA(Tbl_A2_Syntax_01[[#This Row],[Is Y1 Less Than or Equal to Y2]]),EXACT(Tbl_A2_Syntax_01[[#This Row],[Is Y1 Less Than or Equal to Y2]],Tbl_A2_Syntax_01[[#This Row],[Is Y1 Less Than or Equal to Y2 ANS]])),Rng_Lkp_AnswerStatus_Good,Rng_Lkp_AnswerStatus_Bad)),Rng_Lkp_AnswerStatus_Bad)</f>
        <v/>
      </c>
      <c r="N9" s="21" t="b">
        <f>Tbl_A2_Syntax_01[[#This Row],[Member Dues Year 1]]&lt;=Tbl_A2_Syntax_01[[#This Row],[Member Dues Year 2]]</f>
        <v>1</v>
      </c>
      <c r="O9" s="70"/>
      <c r="P9" s="23" t="str">
        <f>IFERROR(IF(Tbl_A2_Syntax_01[[#This Row],[Is Y1 Equal to Y2]]="","",IF(AND(_xlfn.ISFORMULA(Tbl_A2_Syntax_01[[#This Row],[Is Y1 Equal to Y2]]),EXACT(Tbl_A2_Syntax_01[[#This Row],[Is Y1 Equal to Y2]],Tbl_A2_Syntax_01[[#This Row],[Is Y1 Equal to Y2 ANS]])),Rng_Lkp_AnswerStatus_Good,Rng_Lkp_AnswerStatus_Bad)),Rng_Lkp_AnswerStatus_Bad)</f>
        <v/>
      </c>
      <c r="Q9" s="71" t="b">
        <f>Tbl_A2_Syntax_01[[#This Row],[Member Dues Year 1]]=Tbl_A2_Syntax_01[[#This Row],[Member Dues Year 2]]</f>
        <v>0</v>
      </c>
      <c r="R9" s="70"/>
      <c r="S9" s="23" t="str">
        <f>IFERROR(IF(Tbl_A2_Syntax_01[[#This Row],[Is Y1 Not Equal to Y2]]="","",IF(AND(_xlfn.ISFORMULA(Tbl_A2_Syntax_01[[#This Row],[Is Y1 Not Equal to Y2]]),EXACT(Tbl_A2_Syntax_01[[#This Row],[Is Y1 Not Equal to Y2]],Tbl_A2_Syntax_01[[#This Row],[Is Y1 Not Equal to Y2 ANS]])),Rng_Lkp_AnswerStatus_Good,Rng_Lkp_AnswerStatus_Bad)),Rng_Lkp_AnswerStatus_Bad)</f>
        <v/>
      </c>
      <c r="T9" s="71" t="b">
        <f>Tbl_A2_Syntax_01[[#This Row],[Member Dues Year 1]]&lt;&gt;Tbl_A2_Syntax_01[[#This Row],[Member Dues Year 2]]</f>
        <v>1</v>
      </c>
      <c r="U9" s="73"/>
      <c r="V9" s="23" t="str">
        <f>IFERROR(IF(Tbl_A2_Syntax_01[[#This Row],[Account ID: Full Name]]="","",IF(AND(_xlfn.ISFORMULA(Tbl_A2_Syntax_01[[#This Row],[Account ID: Full Name]]),EXACT(Tbl_A2_Syntax_01[[#This Row],[Account ID: Full Name]],Tbl_A2_Syntax_01[[#This Row],[Account ID: Full Name ANS]])),Rng_Lkp_AnswerStatus_Good,Rng_Lkp_AnswerStatus_Bad)),Rng_Lkp_AnswerStatus_Bad)</f>
        <v/>
      </c>
      <c r="W9" s="75" t="str">
        <f>Tbl_A2_Syntax_01[[#This Row],[Account ID]] &amp; ": " &amp; Tbl_A2_Syntax_01[[#This Row],[Full Name]]</f>
        <v>1030: Cory Gibes</v>
      </c>
    </row>
    <row r="10" spans="1:23" x14ac:dyDescent="0.25">
      <c r="B10" s="11">
        <v>1603</v>
      </c>
      <c r="C10" s="12" t="s">
        <v>107</v>
      </c>
      <c r="D10" s="76">
        <v>750</v>
      </c>
      <c r="E10" s="76">
        <v>800</v>
      </c>
      <c r="F10" s="68"/>
      <c r="G10" s="23" t="str">
        <f>IFERROR(IF(Tbl_A2_Syntax_01[[#This Row],[% Change (Y2 - Y1) / Y1]]="","",IF(AND(_xlfn.ISFORMULA(Tbl_A2_Syntax_01[[#This Row],[% Change (Y2 - Y1) / Y1]]),EXACT(Tbl_A2_Syntax_01[[#This Row],[% Change (Y2 - Y1) / Y1]],Tbl_A2_Syntax_01[[#This Row],[% Change (Y2 - Y1) / Y1 ANS]])),Rng_Lkp_AnswerStatus_Good,Rng_Lkp_AnswerStatus_Bad)),Rng_Lkp_AnswerStatus_Bad)</f>
        <v/>
      </c>
      <c r="H10" s="39">
        <f>(Tbl_A2_Syntax_01[[#This Row],[Member Dues Year 2]]-Tbl_A2_Syntax_01[[#This Row],[Member Dues Year 1]])/Tbl_A2_Syntax_01[[#This Row],[Member Dues Year 1]]</f>
        <v>6.6666666666666666E-2</v>
      </c>
      <c r="I10" s="90"/>
      <c r="J10" s="23" t="str">
        <f>IFERROR(IF(Tbl_A2_Syntax_01[[#This Row],[Member Dues Y1^2]]="","",IF(AND(_xlfn.ISFORMULA(Tbl_A2_Syntax_01[[#This Row],[Member Dues Y1^2]]),EXACT(Tbl_A2_Syntax_01[[#This Row],[Member Dues Y1^2]],Tbl_A2_Syntax_01[[#This Row],[Member Dues Y1^2 ANS]])),Rng_Lkp_AnswerStatus_Good,Rng_Lkp_AnswerStatus_Bad)),Rng_Lkp_AnswerStatus_Bad)</f>
        <v/>
      </c>
      <c r="K10" s="91">
        <f>Tbl_A2_Syntax_01[[#This Row],[Member Dues Year 1]]^2</f>
        <v>562500</v>
      </c>
      <c r="L10" s="70"/>
      <c r="M10" s="23" t="str">
        <f>IFERROR(IF(Tbl_A2_Syntax_01[[#This Row],[Is Y1 Less Than or Equal to Y2]]="","",IF(AND(_xlfn.ISFORMULA(Tbl_A2_Syntax_01[[#This Row],[Is Y1 Less Than or Equal to Y2]]),EXACT(Tbl_A2_Syntax_01[[#This Row],[Is Y1 Less Than or Equal to Y2]],Tbl_A2_Syntax_01[[#This Row],[Is Y1 Less Than or Equal to Y2 ANS]])),Rng_Lkp_AnswerStatus_Good,Rng_Lkp_AnswerStatus_Bad)),Rng_Lkp_AnswerStatus_Bad)</f>
        <v/>
      </c>
      <c r="N10" s="21" t="b">
        <f>Tbl_A2_Syntax_01[[#This Row],[Member Dues Year 1]]&lt;=Tbl_A2_Syntax_01[[#This Row],[Member Dues Year 2]]</f>
        <v>1</v>
      </c>
      <c r="O10" s="70"/>
      <c r="P10" s="23" t="str">
        <f>IFERROR(IF(Tbl_A2_Syntax_01[[#This Row],[Is Y1 Equal to Y2]]="","",IF(AND(_xlfn.ISFORMULA(Tbl_A2_Syntax_01[[#This Row],[Is Y1 Equal to Y2]]),EXACT(Tbl_A2_Syntax_01[[#This Row],[Is Y1 Equal to Y2]],Tbl_A2_Syntax_01[[#This Row],[Is Y1 Equal to Y2 ANS]])),Rng_Lkp_AnswerStatus_Good,Rng_Lkp_AnswerStatus_Bad)),Rng_Lkp_AnswerStatus_Bad)</f>
        <v/>
      </c>
      <c r="Q10" s="71" t="b">
        <f>Tbl_A2_Syntax_01[[#This Row],[Member Dues Year 1]]=Tbl_A2_Syntax_01[[#This Row],[Member Dues Year 2]]</f>
        <v>0</v>
      </c>
      <c r="R10" s="70"/>
      <c r="S10" s="23" t="str">
        <f>IFERROR(IF(Tbl_A2_Syntax_01[[#This Row],[Is Y1 Not Equal to Y2]]="","",IF(AND(_xlfn.ISFORMULA(Tbl_A2_Syntax_01[[#This Row],[Is Y1 Not Equal to Y2]]),EXACT(Tbl_A2_Syntax_01[[#This Row],[Is Y1 Not Equal to Y2]],Tbl_A2_Syntax_01[[#This Row],[Is Y1 Not Equal to Y2 ANS]])),Rng_Lkp_AnswerStatus_Good,Rng_Lkp_AnswerStatus_Bad)),Rng_Lkp_AnswerStatus_Bad)</f>
        <v/>
      </c>
      <c r="T10" s="71" t="b">
        <f>Tbl_A2_Syntax_01[[#This Row],[Member Dues Year 1]]&lt;&gt;Tbl_A2_Syntax_01[[#This Row],[Member Dues Year 2]]</f>
        <v>1</v>
      </c>
      <c r="U10" s="73"/>
      <c r="V10" s="23" t="str">
        <f>IFERROR(IF(Tbl_A2_Syntax_01[[#This Row],[Account ID: Full Name]]="","",IF(AND(_xlfn.ISFORMULA(Tbl_A2_Syntax_01[[#This Row],[Account ID: Full Name]]),EXACT(Tbl_A2_Syntax_01[[#This Row],[Account ID: Full Name]],Tbl_A2_Syntax_01[[#This Row],[Account ID: Full Name ANS]])),Rng_Lkp_AnswerStatus_Good,Rng_Lkp_AnswerStatus_Bad)),Rng_Lkp_AnswerStatus_Bad)</f>
        <v/>
      </c>
      <c r="W10" s="75" t="str">
        <f>Tbl_A2_Syntax_01[[#This Row],[Account ID]] &amp; ": " &amp; Tbl_A2_Syntax_01[[#This Row],[Full Name]]</f>
        <v>1603: Danica Brusch</v>
      </c>
    </row>
    <row r="11" spans="1:23" x14ac:dyDescent="0.25">
      <c r="B11" s="11">
        <v>4298</v>
      </c>
      <c r="C11" s="12" t="s">
        <v>5</v>
      </c>
      <c r="D11" s="76">
        <v>1400</v>
      </c>
      <c r="E11" s="76">
        <v>1200</v>
      </c>
      <c r="F11" s="68"/>
      <c r="G11" s="23" t="str">
        <f>IFERROR(IF(Tbl_A2_Syntax_01[[#This Row],[% Change (Y2 - Y1) / Y1]]="","",IF(AND(_xlfn.ISFORMULA(Tbl_A2_Syntax_01[[#This Row],[% Change (Y2 - Y1) / Y1]]),EXACT(Tbl_A2_Syntax_01[[#This Row],[% Change (Y2 - Y1) / Y1]],Tbl_A2_Syntax_01[[#This Row],[% Change (Y2 - Y1) / Y1 ANS]])),Rng_Lkp_AnswerStatus_Good,Rng_Lkp_AnswerStatus_Bad)),Rng_Lkp_AnswerStatus_Bad)</f>
        <v/>
      </c>
      <c r="H11" s="39">
        <f>(Tbl_A2_Syntax_01[[#This Row],[Member Dues Year 2]]-Tbl_A2_Syntax_01[[#This Row],[Member Dues Year 1]])/Tbl_A2_Syntax_01[[#This Row],[Member Dues Year 1]]</f>
        <v>-0.14285714285714285</v>
      </c>
      <c r="I11" s="90"/>
      <c r="J11" s="23" t="str">
        <f>IFERROR(IF(Tbl_A2_Syntax_01[[#This Row],[Member Dues Y1^2]]="","",IF(AND(_xlfn.ISFORMULA(Tbl_A2_Syntax_01[[#This Row],[Member Dues Y1^2]]),EXACT(Tbl_A2_Syntax_01[[#This Row],[Member Dues Y1^2]],Tbl_A2_Syntax_01[[#This Row],[Member Dues Y1^2 ANS]])),Rng_Lkp_AnswerStatus_Good,Rng_Lkp_AnswerStatus_Bad)),Rng_Lkp_AnswerStatus_Bad)</f>
        <v/>
      </c>
      <c r="K11" s="91">
        <f>Tbl_A2_Syntax_01[[#This Row],[Member Dues Year 1]]^2</f>
        <v>1960000</v>
      </c>
      <c r="L11" s="70"/>
      <c r="M11" s="23" t="str">
        <f>IFERROR(IF(Tbl_A2_Syntax_01[[#This Row],[Is Y1 Less Than or Equal to Y2]]="","",IF(AND(_xlfn.ISFORMULA(Tbl_A2_Syntax_01[[#This Row],[Is Y1 Less Than or Equal to Y2]]),EXACT(Tbl_A2_Syntax_01[[#This Row],[Is Y1 Less Than or Equal to Y2]],Tbl_A2_Syntax_01[[#This Row],[Is Y1 Less Than or Equal to Y2 ANS]])),Rng_Lkp_AnswerStatus_Good,Rng_Lkp_AnswerStatus_Bad)),Rng_Lkp_AnswerStatus_Bad)</f>
        <v/>
      </c>
      <c r="N11" s="21" t="b">
        <f>Tbl_A2_Syntax_01[[#This Row],[Member Dues Year 1]]&lt;=Tbl_A2_Syntax_01[[#This Row],[Member Dues Year 2]]</f>
        <v>0</v>
      </c>
      <c r="O11" s="70"/>
      <c r="P11" s="23" t="str">
        <f>IFERROR(IF(Tbl_A2_Syntax_01[[#This Row],[Is Y1 Equal to Y2]]="","",IF(AND(_xlfn.ISFORMULA(Tbl_A2_Syntax_01[[#This Row],[Is Y1 Equal to Y2]]),EXACT(Tbl_A2_Syntax_01[[#This Row],[Is Y1 Equal to Y2]],Tbl_A2_Syntax_01[[#This Row],[Is Y1 Equal to Y2 ANS]])),Rng_Lkp_AnswerStatus_Good,Rng_Lkp_AnswerStatus_Bad)),Rng_Lkp_AnswerStatus_Bad)</f>
        <v/>
      </c>
      <c r="Q11" s="71" t="b">
        <f>Tbl_A2_Syntax_01[[#This Row],[Member Dues Year 1]]=Tbl_A2_Syntax_01[[#This Row],[Member Dues Year 2]]</f>
        <v>0</v>
      </c>
      <c r="R11" s="70"/>
      <c r="S11" s="23" t="str">
        <f>IFERROR(IF(Tbl_A2_Syntax_01[[#This Row],[Is Y1 Not Equal to Y2]]="","",IF(AND(_xlfn.ISFORMULA(Tbl_A2_Syntax_01[[#This Row],[Is Y1 Not Equal to Y2]]),EXACT(Tbl_A2_Syntax_01[[#This Row],[Is Y1 Not Equal to Y2]],Tbl_A2_Syntax_01[[#This Row],[Is Y1 Not Equal to Y2 ANS]])),Rng_Lkp_AnswerStatus_Good,Rng_Lkp_AnswerStatus_Bad)),Rng_Lkp_AnswerStatus_Bad)</f>
        <v/>
      </c>
      <c r="T11" s="71" t="b">
        <f>Tbl_A2_Syntax_01[[#This Row],[Member Dues Year 1]]&lt;&gt;Tbl_A2_Syntax_01[[#This Row],[Member Dues Year 2]]</f>
        <v>1</v>
      </c>
      <c r="U11" s="73"/>
      <c r="V11" s="23" t="str">
        <f>IFERROR(IF(Tbl_A2_Syntax_01[[#This Row],[Account ID: Full Name]]="","",IF(AND(_xlfn.ISFORMULA(Tbl_A2_Syntax_01[[#This Row],[Account ID: Full Name]]),EXACT(Tbl_A2_Syntax_01[[#This Row],[Account ID: Full Name]],Tbl_A2_Syntax_01[[#This Row],[Account ID: Full Name ANS]])),Rng_Lkp_AnswerStatus_Good,Rng_Lkp_AnswerStatus_Bad)),Rng_Lkp_AnswerStatus_Bad)</f>
        <v/>
      </c>
      <c r="W11" s="75" t="str">
        <f>Tbl_A2_Syntax_01[[#This Row],[Account ID]] &amp; ": " &amp; Tbl_A2_Syntax_01[[#This Row],[Full Name]]</f>
        <v>4298: Wilda Giguere</v>
      </c>
    </row>
    <row r="12" spans="1:23" x14ac:dyDescent="0.25">
      <c r="B12" s="11">
        <v>2352</v>
      </c>
      <c r="C12" s="12" t="s">
        <v>104</v>
      </c>
      <c r="D12" s="76">
        <v>1000</v>
      </c>
      <c r="E12" s="76">
        <v>950</v>
      </c>
      <c r="F12" s="68"/>
      <c r="G12" s="23" t="str">
        <f>IFERROR(IF(Tbl_A2_Syntax_01[[#This Row],[% Change (Y2 - Y1) / Y1]]="","",IF(AND(_xlfn.ISFORMULA(Tbl_A2_Syntax_01[[#This Row],[% Change (Y2 - Y1) / Y1]]),EXACT(Tbl_A2_Syntax_01[[#This Row],[% Change (Y2 - Y1) / Y1]],Tbl_A2_Syntax_01[[#This Row],[% Change (Y2 - Y1) / Y1 ANS]])),Rng_Lkp_AnswerStatus_Good,Rng_Lkp_AnswerStatus_Bad)),Rng_Lkp_AnswerStatus_Bad)</f>
        <v/>
      </c>
      <c r="H12" s="39">
        <f>(Tbl_A2_Syntax_01[[#This Row],[Member Dues Year 2]]-Tbl_A2_Syntax_01[[#This Row],[Member Dues Year 1]])/Tbl_A2_Syntax_01[[#This Row],[Member Dues Year 1]]</f>
        <v>-0.05</v>
      </c>
      <c r="I12" s="90"/>
      <c r="J12" s="23" t="str">
        <f>IFERROR(IF(Tbl_A2_Syntax_01[[#This Row],[Member Dues Y1^2]]="","",IF(AND(_xlfn.ISFORMULA(Tbl_A2_Syntax_01[[#This Row],[Member Dues Y1^2]]),EXACT(Tbl_A2_Syntax_01[[#This Row],[Member Dues Y1^2]],Tbl_A2_Syntax_01[[#This Row],[Member Dues Y1^2 ANS]])),Rng_Lkp_AnswerStatus_Good,Rng_Lkp_AnswerStatus_Bad)),Rng_Lkp_AnswerStatus_Bad)</f>
        <v/>
      </c>
      <c r="K12" s="91">
        <f>Tbl_A2_Syntax_01[[#This Row],[Member Dues Year 1]]^2</f>
        <v>1000000</v>
      </c>
      <c r="L12" s="70"/>
      <c r="M12" s="23" t="str">
        <f>IFERROR(IF(Tbl_A2_Syntax_01[[#This Row],[Is Y1 Less Than or Equal to Y2]]="","",IF(AND(_xlfn.ISFORMULA(Tbl_A2_Syntax_01[[#This Row],[Is Y1 Less Than or Equal to Y2]]),EXACT(Tbl_A2_Syntax_01[[#This Row],[Is Y1 Less Than or Equal to Y2]],Tbl_A2_Syntax_01[[#This Row],[Is Y1 Less Than or Equal to Y2 ANS]])),Rng_Lkp_AnswerStatus_Good,Rng_Lkp_AnswerStatus_Bad)),Rng_Lkp_AnswerStatus_Bad)</f>
        <v/>
      </c>
      <c r="N12" s="21" t="b">
        <f>Tbl_A2_Syntax_01[[#This Row],[Member Dues Year 1]]&lt;=Tbl_A2_Syntax_01[[#This Row],[Member Dues Year 2]]</f>
        <v>0</v>
      </c>
      <c r="O12" s="70"/>
      <c r="P12" s="23" t="str">
        <f>IFERROR(IF(Tbl_A2_Syntax_01[[#This Row],[Is Y1 Equal to Y2]]="","",IF(AND(_xlfn.ISFORMULA(Tbl_A2_Syntax_01[[#This Row],[Is Y1 Equal to Y2]]),EXACT(Tbl_A2_Syntax_01[[#This Row],[Is Y1 Equal to Y2]],Tbl_A2_Syntax_01[[#This Row],[Is Y1 Equal to Y2 ANS]])),Rng_Lkp_AnswerStatus_Good,Rng_Lkp_AnswerStatus_Bad)),Rng_Lkp_AnswerStatus_Bad)</f>
        <v/>
      </c>
      <c r="Q12" s="71" t="b">
        <f>Tbl_A2_Syntax_01[[#This Row],[Member Dues Year 1]]=Tbl_A2_Syntax_01[[#This Row],[Member Dues Year 2]]</f>
        <v>0</v>
      </c>
      <c r="R12" s="70"/>
      <c r="S12" s="23" t="str">
        <f>IFERROR(IF(Tbl_A2_Syntax_01[[#This Row],[Is Y1 Not Equal to Y2]]="","",IF(AND(_xlfn.ISFORMULA(Tbl_A2_Syntax_01[[#This Row],[Is Y1 Not Equal to Y2]]),EXACT(Tbl_A2_Syntax_01[[#This Row],[Is Y1 Not Equal to Y2]],Tbl_A2_Syntax_01[[#This Row],[Is Y1 Not Equal to Y2 ANS]])),Rng_Lkp_AnswerStatus_Good,Rng_Lkp_AnswerStatus_Bad)),Rng_Lkp_AnswerStatus_Bad)</f>
        <v/>
      </c>
      <c r="T12" s="71" t="b">
        <f>Tbl_A2_Syntax_01[[#This Row],[Member Dues Year 1]]&lt;&gt;Tbl_A2_Syntax_01[[#This Row],[Member Dues Year 2]]</f>
        <v>1</v>
      </c>
      <c r="U12" s="73"/>
      <c r="V12" s="23" t="str">
        <f>IFERROR(IF(Tbl_A2_Syntax_01[[#This Row],[Account ID: Full Name]]="","",IF(AND(_xlfn.ISFORMULA(Tbl_A2_Syntax_01[[#This Row],[Account ID: Full Name]]),EXACT(Tbl_A2_Syntax_01[[#This Row],[Account ID: Full Name]],Tbl_A2_Syntax_01[[#This Row],[Account ID: Full Name ANS]])),Rng_Lkp_AnswerStatus_Good,Rng_Lkp_AnswerStatus_Bad)),Rng_Lkp_AnswerStatus_Bad)</f>
        <v/>
      </c>
      <c r="W12" s="75" t="str">
        <f>Tbl_A2_Syntax_01[[#This Row],[Account ID]] &amp; ": " &amp; Tbl_A2_Syntax_01[[#This Row],[Full Name]]</f>
        <v>2352: Elvera Benim</v>
      </c>
    </row>
    <row r="13" spans="1:23" x14ac:dyDescent="0.25">
      <c r="B13" s="11">
        <v>1049</v>
      </c>
      <c r="C13" s="12" t="s">
        <v>105</v>
      </c>
      <c r="D13" s="76">
        <v>1000</v>
      </c>
      <c r="E13" s="76">
        <v>1000</v>
      </c>
      <c r="F13" s="68"/>
      <c r="G13" s="23" t="str">
        <f>IFERROR(IF(Tbl_A2_Syntax_01[[#This Row],[% Change (Y2 - Y1) / Y1]]="","",IF(AND(_xlfn.ISFORMULA(Tbl_A2_Syntax_01[[#This Row],[% Change (Y2 - Y1) / Y1]]),EXACT(Tbl_A2_Syntax_01[[#This Row],[% Change (Y2 - Y1) / Y1]],Tbl_A2_Syntax_01[[#This Row],[% Change (Y2 - Y1) / Y1 ANS]])),Rng_Lkp_AnswerStatus_Good,Rng_Lkp_AnswerStatus_Bad)),Rng_Lkp_AnswerStatus_Bad)</f>
        <v/>
      </c>
      <c r="H13" s="39">
        <f>(Tbl_A2_Syntax_01[[#This Row],[Member Dues Year 2]]-Tbl_A2_Syntax_01[[#This Row],[Member Dues Year 1]])/Tbl_A2_Syntax_01[[#This Row],[Member Dues Year 1]]</f>
        <v>0</v>
      </c>
      <c r="I13" s="90"/>
      <c r="J13" s="23" t="str">
        <f>IFERROR(IF(Tbl_A2_Syntax_01[[#This Row],[Member Dues Y1^2]]="","",IF(AND(_xlfn.ISFORMULA(Tbl_A2_Syntax_01[[#This Row],[Member Dues Y1^2]]),EXACT(Tbl_A2_Syntax_01[[#This Row],[Member Dues Y1^2]],Tbl_A2_Syntax_01[[#This Row],[Member Dues Y1^2 ANS]])),Rng_Lkp_AnswerStatus_Good,Rng_Lkp_AnswerStatus_Bad)),Rng_Lkp_AnswerStatus_Bad)</f>
        <v/>
      </c>
      <c r="K13" s="91">
        <f>Tbl_A2_Syntax_01[[#This Row],[Member Dues Year 1]]^2</f>
        <v>1000000</v>
      </c>
      <c r="L13" s="70"/>
      <c r="M13" s="23" t="str">
        <f>IFERROR(IF(Tbl_A2_Syntax_01[[#This Row],[Is Y1 Less Than or Equal to Y2]]="","",IF(AND(_xlfn.ISFORMULA(Tbl_A2_Syntax_01[[#This Row],[Is Y1 Less Than or Equal to Y2]]),EXACT(Tbl_A2_Syntax_01[[#This Row],[Is Y1 Less Than or Equal to Y2]],Tbl_A2_Syntax_01[[#This Row],[Is Y1 Less Than or Equal to Y2 ANS]])),Rng_Lkp_AnswerStatus_Good,Rng_Lkp_AnswerStatus_Bad)),Rng_Lkp_AnswerStatus_Bad)</f>
        <v/>
      </c>
      <c r="N13" s="21" t="b">
        <f>Tbl_A2_Syntax_01[[#This Row],[Member Dues Year 1]]&lt;=Tbl_A2_Syntax_01[[#This Row],[Member Dues Year 2]]</f>
        <v>1</v>
      </c>
      <c r="O13" s="70"/>
      <c r="P13" s="23" t="str">
        <f>IFERROR(IF(Tbl_A2_Syntax_01[[#This Row],[Is Y1 Equal to Y2]]="","",IF(AND(_xlfn.ISFORMULA(Tbl_A2_Syntax_01[[#This Row],[Is Y1 Equal to Y2]]),EXACT(Tbl_A2_Syntax_01[[#This Row],[Is Y1 Equal to Y2]],Tbl_A2_Syntax_01[[#This Row],[Is Y1 Equal to Y2 ANS]])),Rng_Lkp_AnswerStatus_Good,Rng_Lkp_AnswerStatus_Bad)),Rng_Lkp_AnswerStatus_Bad)</f>
        <v/>
      </c>
      <c r="Q13" s="71" t="b">
        <f>Tbl_A2_Syntax_01[[#This Row],[Member Dues Year 1]]=Tbl_A2_Syntax_01[[#This Row],[Member Dues Year 2]]</f>
        <v>1</v>
      </c>
      <c r="R13" s="70"/>
      <c r="S13" s="23" t="str">
        <f>IFERROR(IF(Tbl_A2_Syntax_01[[#This Row],[Is Y1 Not Equal to Y2]]="","",IF(AND(_xlfn.ISFORMULA(Tbl_A2_Syntax_01[[#This Row],[Is Y1 Not Equal to Y2]]),EXACT(Tbl_A2_Syntax_01[[#This Row],[Is Y1 Not Equal to Y2]],Tbl_A2_Syntax_01[[#This Row],[Is Y1 Not Equal to Y2 ANS]])),Rng_Lkp_AnswerStatus_Good,Rng_Lkp_AnswerStatus_Bad)),Rng_Lkp_AnswerStatus_Bad)</f>
        <v/>
      </c>
      <c r="T13" s="71" t="b">
        <f>Tbl_A2_Syntax_01[[#This Row],[Member Dues Year 1]]&lt;&gt;Tbl_A2_Syntax_01[[#This Row],[Member Dues Year 2]]</f>
        <v>0</v>
      </c>
      <c r="U13" s="73"/>
      <c r="V13" s="23" t="str">
        <f>IFERROR(IF(Tbl_A2_Syntax_01[[#This Row],[Account ID: Full Name]]="","",IF(AND(_xlfn.ISFORMULA(Tbl_A2_Syntax_01[[#This Row],[Account ID: Full Name]]),EXACT(Tbl_A2_Syntax_01[[#This Row],[Account ID: Full Name]],Tbl_A2_Syntax_01[[#This Row],[Account ID: Full Name ANS]])),Rng_Lkp_AnswerStatus_Good,Rng_Lkp_AnswerStatus_Bad)),Rng_Lkp_AnswerStatus_Bad)</f>
        <v/>
      </c>
      <c r="W13" s="75" t="str">
        <f>Tbl_A2_Syntax_01[[#This Row],[Account ID]] &amp; ": " &amp; Tbl_A2_Syntax_01[[#This Row],[Full Name]]</f>
        <v>1049: Carma Heusen</v>
      </c>
    </row>
    <row r="14" spans="1:23" x14ac:dyDescent="0.25">
      <c r="B14" s="11">
        <v>2278</v>
      </c>
      <c r="C14" s="12" t="s">
        <v>106</v>
      </c>
      <c r="D14" s="76">
        <v>750</v>
      </c>
      <c r="E14" s="76">
        <v>1000</v>
      </c>
      <c r="F14" s="68"/>
      <c r="G14" s="23" t="str">
        <f>IFERROR(IF(Tbl_A2_Syntax_01[[#This Row],[% Change (Y2 - Y1) / Y1]]="","",IF(AND(_xlfn.ISFORMULA(Tbl_A2_Syntax_01[[#This Row],[% Change (Y2 - Y1) / Y1]]),EXACT(Tbl_A2_Syntax_01[[#This Row],[% Change (Y2 - Y1) / Y1]],Tbl_A2_Syntax_01[[#This Row],[% Change (Y2 - Y1) / Y1 ANS]])),Rng_Lkp_AnswerStatus_Good,Rng_Lkp_AnswerStatus_Bad)),Rng_Lkp_AnswerStatus_Bad)</f>
        <v/>
      </c>
      <c r="H14" s="39">
        <f>(Tbl_A2_Syntax_01[[#This Row],[Member Dues Year 2]]-Tbl_A2_Syntax_01[[#This Row],[Member Dues Year 1]])/Tbl_A2_Syntax_01[[#This Row],[Member Dues Year 1]]</f>
        <v>0.33333333333333331</v>
      </c>
      <c r="I14" s="90"/>
      <c r="J14" s="23" t="str">
        <f>IFERROR(IF(Tbl_A2_Syntax_01[[#This Row],[Member Dues Y1^2]]="","",IF(AND(_xlfn.ISFORMULA(Tbl_A2_Syntax_01[[#This Row],[Member Dues Y1^2]]),EXACT(Tbl_A2_Syntax_01[[#This Row],[Member Dues Y1^2]],Tbl_A2_Syntax_01[[#This Row],[Member Dues Y1^2 ANS]])),Rng_Lkp_AnswerStatus_Good,Rng_Lkp_AnswerStatus_Bad)),Rng_Lkp_AnswerStatus_Bad)</f>
        <v/>
      </c>
      <c r="K14" s="91">
        <f>Tbl_A2_Syntax_01[[#This Row],[Member Dues Year 1]]^2</f>
        <v>562500</v>
      </c>
      <c r="L14" s="70"/>
      <c r="M14" s="23" t="str">
        <f>IFERROR(IF(Tbl_A2_Syntax_01[[#This Row],[Is Y1 Less Than or Equal to Y2]]="","",IF(AND(_xlfn.ISFORMULA(Tbl_A2_Syntax_01[[#This Row],[Is Y1 Less Than or Equal to Y2]]),EXACT(Tbl_A2_Syntax_01[[#This Row],[Is Y1 Less Than or Equal to Y2]],Tbl_A2_Syntax_01[[#This Row],[Is Y1 Less Than or Equal to Y2 ANS]])),Rng_Lkp_AnswerStatus_Good,Rng_Lkp_AnswerStatus_Bad)),Rng_Lkp_AnswerStatus_Bad)</f>
        <v/>
      </c>
      <c r="N14" s="21" t="b">
        <f>Tbl_A2_Syntax_01[[#This Row],[Member Dues Year 1]]&lt;=Tbl_A2_Syntax_01[[#This Row],[Member Dues Year 2]]</f>
        <v>1</v>
      </c>
      <c r="O14" s="70"/>
      <c r="P14" s="23" t="str">
        <f>IFERROR(IF(Tbl_A2_Syntax_01[[#This Row],[Is Y1 Equal to Y2]]="","",IF(AND(_xlfn.ISFORMULA(Tbl_A2_Syntax_01[[#This Row],[Is Y1 Equal to Y2]]),EXACT(Tbl_A2_Syntax_01[[#This Row],[Is Y1 Equal to Y2]],Tbl_A2_Syntax_01[[#This Row],[Is Y1 Equal to Y2 ANS]])),Rng_Lkp_AnswerStatus_Good,Rng_Lkp_AnswerStatus_Bad)),Rng_Lkp_AnswerStatus_Bad)</f>
        <v/>
      </c>
      <c r="Q14" s="71" t="b">
        <f>Tbl_A2_Syntax_01[[#This Row],[Member Dues Year 1]]=Tbl_A2_Syntax_01[[#This Row],[Member Dues Year 2]]</f>
        <v>0</v>
      </c>
      <c r="R14" s="70"/>
      <c r="S14" s="23" t="str">
        <f>IFERROR(IF(Tbl_A2_Syntax_01[[#This Row],[Is Y1 Not Equal to Y2]]="","",IF(AND(_xlfn.ISFORMULA(Tbl_A2_Syntax_01[[#This Row],[Is Y1 Not Equal to Y2]]),EXACT(Tbl_A2_Syntax_01[[#This Row],[Is Y1 Not Equal to Y2]],Tbl_A2_Syntax_01[[#This Row],[Is Y1 Not Equal to Y2 ANS]])),Rng_Lkp_AnswerStatus_Good,Rng_Lkp_AnswerStatus_Bad)),Rng_Lkp_AnswerStatus_Bad)</f>
        <v/>
      </c>
      <c r="T14" s="71" t="b">
        <f>Tbl_A2_Syntax_01[[#This Row],[Member Dues Year 1]]&lt;&gt;Tbl_A2_Syntax_01[[#This Row],[Member Dues Year 2]]</f>
        <v>1</v>
      </c>
      <c r="U14" s="73"/>
      <c r="V14" s="23" t="str">
        <f>IFERROR(IF(Tbl_A2_Syntax_01[[#This Row],[Account ID: Full Name]]="","",IF(AND(_xlfn.ISFORMULA(Tbl_A2_Syntax_01[[#This Row],[Account ID: Full Name]]),EXACT(Tbl_A2_Syntax_01[[#This Row],[Account ID: Full Name]],Tbl_A2_Syntax_01[[#This Row],[Account ID: Full Name ANS]])),Rng_Lkp_AnswerStatus_Good,Rng_Lkp_AnswerStatus_Bad)),Rng_Lkp_AnswerStatus_Bad)</f>
        <v/>
      </c>
      <c r="W14" s="75" t="str">
        <f>Tbl_A2_Syntax_01[[#This Row],[Account ID]] &amp; ": " &amp; Tbl_A2_Syntax_01[[#This Row],[Full Name]]</f>
        <v>2278: Malinda Hoc</v>
      </c>
    </row>
    <row r="15" spans="1:23" x14ac:dyDescent="0.25">
      <c r="B15" s="11">
        <v>4071</v>
      </c>
      <c r="C15" s="12" t="s">
        <v>6</v>
      </c>
      <c r="D15" s="76">
        <v>75</v>
      </c>
      <c r="E15" s="76">
        <v>150</v>
      </c>
      <c r="F15" s="68"/>
      <c r="G15" s="23" t="str">
        <f>IFERROR(IF(Tbl_A2_Syntax_01[[#This Row],[% Change (Y2 - Y1) / Y1]]="","",IF(AND(_xlfn.ISFORMULA(Tbl_A2_Syntax_01[[#This Row],[% Change (Y2 - Y1) / Y1]]),EXACT(Tbl_A2_Syntax_01[[#This Row],[% Change (Y2 - Y1) / Y1]],Tbl_A2_Syntax_01[[#This Row],[% Change (Y2 - Y1) / Y1 ANS]])),Rng_Lkp_AnswerStatus_Good,Rng_Lkp_AnswerStatus_Bad)),Rng_Lkp_AnswerStatus_Bad)</f>
        <v/>
      </c>
      <c r="H15" s="39">
        <f>(Tbl_A2_Syntax_01[[#This Row],[Member Dues Year 2]]-Tbl_A2_Syntax_01[[#This Row],[Member Dues Year 1]])/Tbl_A2_Syntax_01[[#This Row],[Member Dues Year 1]]</f>
        <v>1</v>
      </c>
      <c r="I15" s="90"/>
      <c r="J15" s="23" t="str">
        <f>IFERROR(IF(Tbl_A2_Syntax_01[[#This Row],[Member Dues Y1^2]]="","",IF(AND(_xlfn.ISFORMULA(Tbl_A2_Syntax_01[[#This Row],[Member Dues Y1^2]]),EXACT(Tbl_A2_Syntax_01[[#This Row],[Member Dues Y1^2]],Tbl_A2_Syntax_01[[#This Row],[Member Dues Y1^2 ANS]])),Rng_Lkp_AnswerStatus_Good,Rng_Lkp_AnswerStatus_Bad)),Rng_Lkp_AnswerStatus_Bad)</f>
        <v/>
      </c>
      <c r="K15" s="91">
        <f>Tbl_A2_Syntax_01[[#This Row],[Member Dues Year 1]]^2</f>
        <v>5625</v>
      </c>
      <c r="L15" s="70"/>
      <c r="M15" s="23" t="str">
        <f>IFERROR(IF(Tbl_A2_Syntax_01[[#This Row],[Is Y1 Less Than or Equal to Y2]]="","",IF(AND(_xlfn.ISFORMULA(Tbl_A2_Syntax_01[[#This Row],[Is Y1 Less Than or Equal to Y2]]),EXACT(Tbl_A2_Syntax_01[[#This Row],[Is Y1 Less Than or Equal to Y2]],Tbl_A2_Syntax_01[[#This Row],[Is Y1 Less Than or Equal to Y2 ANS]])),Rng_Lkp_AnswerStatus_Good,Rng_Lkp_AnswerStatus_Bad)),Rng_Lkp_AnswerStatus_Bad)</f>
        <v/>
      </c>
      <c r="N15" s="21" t="b">
        <f>Tbl_A2_Syntax_01[[#This Row],[Member Dues Year 1]]&lt;=Tbl_A2_Syntax_01[[#This Row],[Member Dues Year 2]]</f>
        <v>1</v>
      </c>
      <c r="O15" s="70"/>
      <c r="P15" s="23" t="str">
        <f>IFERROR(IF(Tbl_A2_Syntax_01[[#This Row],[Is Y1 Equal to Y2]]="","",IF(AND(_xlfn.ISFORMULA(Tbl_A2_Syntax_01[[#This Row],[Is Y1 Equal to Y2]]),EXACT(Tbl_A2_Syntax_01[[#This Row],[Is Y1 Equal to Y2]],Tbl_A2_Syntax_01[[#This Row],[Is Y1 Equal to Y2 ANS]])),Rng_Lkp_AnswerStatus_Good,Rng_Lkp_AnswerStatus_Bad)),Rng_Lkp_AnswerStatus_Bad)</f>
        <v/>
      </c>
      <c r="Q15" s="71" t="b">
        <f>Tbl_A2_Syntax_01[[#This Row],[Member Dues Year 1]]=Tbl_A2_Syntax_01[[#This Row],[Member Dues Year 2]]</f>
        <v>0</v>
      </c>
      <c r="R15" s="70"/>
      <c r="S15" s="23" t="str">
        <f>IFERROR(IF(Tbl_A2_Syntax_01[[#This Row],[Is Y1 Not Equal to Y2]]="","",IF(AND(_xlfn.ISFORMULA(Tbl_A2_Syntax_01[[#This Row],[Is Y1 Not Equal to Y2]]),EXACT(Tbl_A2_Syntax_01[[#This Row],[Is Y1 Not Equal to Y2]],Tbl_A2_Syntax_01[[#This Row],[Is Y1 Not Equal to Y2 ANS]])),Rng_Lkp_AnswerStatus_Good,Rng_Lkp_AnswerStatus_Bad)),Rng_Lkp_AnswerStatus_Bad)</f>
        <v/>
      </c>
      <c r="T15" s="71" t="b">
        <f>Tbl_A2_Syntax_01[[#This Row],[Member Dues Year 1]]&lt;&gt;Tbl_A2_Syntax_01[[#This Row],[Member Dues Year 2]]</f>
        <v>1</v>
      </c>
      <c r="U15" s="73"/>
      <c r="V15" s="23" t="str">
        <f>IFERROR(IF(Tbl_A2_Syntax_01[[#This Row],[Account ID: Full Name]]="","",IF(AND(_xlfn.ISFORMULA(Tbl_A2_Syntax_01[[#This Row],[Account ID: Full Name]]),EXACT(Tbl_A2_Syntax_01[[#This Row],[Account ID: Full Name]],Tbl_A2_Syntax_01[[#This Row],[Account ID: Full Name ANS]])),Rng_Lkp_AnswerStatus_Good,Rng_Lkp_AnswerStatus_Bad)),Rng_Lkp_AnswerStatus_Bad)</f>
        <v/>
      </c>
      <c r="W15" s="75" t="str">
        <f>Tbl_A2_Syntax_01[[#This Row],[Account ID]] &amp; ": " &amp; Tbl_A2_Syntax_01[[#This Row],[Full Name]]</f>
        <v>4071: Natalie Fern</v>
      </c>
    </row>
    <row r="16" spans="1:23" x14ac:dyDescent="0.25">
      <c r="B16" s="11">
        <v>1066</v>
      </c>
      <c r="C16" s="12" t="s">
        <v>7</v>
      </c>
      <c r="D16" s="76">
        <v>75</v>
      </c>
      <c r="E16" s="76">
        <v>125</v>
      </c>
      <c r="F16" s="68"/>
      <c r="G16" s="23" t="str">
        <f>IFERROR(IF(Tbl_A2_Syntax_01[[#This Row],[% Change (Y2 - Y1) / Y1]]="","",IF(AND(_xlfn.ISFORMULA(Tbl_A2_Syntax_01[[#This Row],[% Change (Y2 - Y1) / Y1]]),EXACT(Tbl_A2_Syntax_01[[#This Row],[% Change (Y2 - Y1) / Y1]],Tbl_A2_Syntax_01[[#This Row],[% Change (Y2 - Y1) / Y1 ANS]])),Rng_Lkp_AnswerStatus_Good,Rng_Lkp_AnswerStatus_Bad)),Rng_Lkp_AnswerStatus_Bad)</f>
        <v/>
      </c>
      <c r="H16" s="39">
        <f>(Tbl_A2_Syntax_01[[#This Row],[Member Dues Year 2]]-Tbl_A2_Syntax_01[[#This Row],[Member Dues Year 1]])/Tbl_A2_Syntax_01[[#This Row],[Member Dues Year 1]]</f>
        <v>0.66666666666666663</v>
      </c>
      <c r="I16" s="90"/>
      <c r="J16" s="23" t="str">
        <f>IFERROR(IF(Tbl_A2_Syntax_01[[#This Row],[Member Dues Y1^2]]="","",IF(AND(_xlfn.ISFORMULA(Tbl_A2_Syntax_01[[#This Row],[Member Dues Y1^2]]),EXACT(Tbl_A2_Syntax_01[[#This Row],[Member Dues Y1^2]],Tbl_A2_Syntax_01[[#This Row],[Member Dues Y1^2 ANS]])),Rng_Lkp_AnswerStatus_Good,Rng_Lkp_AnswerStatus_Bad)),Rng_Lkp_AnswerStatus_Bad)</f>
        <v/>
      </c>
      <c r="K16" s="91">
        <f>Tbl_A2_Syntax_01[[#This Row],[Member Dues Year 1]]^2</f>
        <v>5625</v>
      </c>
      <c r="L16" s="70"/>
      <c r="M16" s="23" t="str">
        <f>IFERROR(IF(Tbl_A2_Syntax_01[[#This Row],[Is Y1 Less Than or Equal to Y2]]="","",IF(AND(_xlfn.ISFORMULA(Tbl_A2_Syntax_01[[#This Row],[Is Y1 Less Than or Equal to Y2]]),EXACT(Tbl_A2_Syntax_01[[#This Row],[Is Y1 Less Than or Equal to Y2]],Tbl_A2_Syntax_01[[#This Row],[Is Y1 Less Than or Equal to Y2 ANS]])),Rng_Lkp_AnswerStatus_Good,Rng_Lkp_AnswerStatus_Bad)),Rng_Lkp_AnswerStatus_Bad)</f>
        <v/>
      </c>
      <c r="N16" s="21" t="b">
        <f>Tbl_A2_Syntax_01[[#This Row],[Member Dues Year 1]]&lt;=Tbl_A2_Syntax_01[[#This Row],[Member Dues Year 2]]</f>
        <v>1</v>
      </c>
      <c r="O16" s="70"/>
      <c r="P16" s="23" t="str">
        <f>IFERROR(IF(Tbl_A2_Syntax_01[[#This Row],[Is Y1 Equal to Y2]]="","",IF(AND(_xlfn.ISFORMULA(Tbl_A2_Syntax_01[[#This Row],[Is Y1 Equal to Y2]]),EXACT(Tbl_A2_Syntax_01[[#This Row],[Is Y1 Equal to Y2]],Tbl_A2_Syntax_01[[#This Row],[Is Y1 Equal to Y2 ANS]])),Rng_Lkp_AnswerStatus_Good,Rng_Lkp_AnswerStatus_Bad)),Rng_Lkp_AnswerStatus_Bad)</f>
        <v/>
      </c>
      <c r="Q16" s="71" t="b">
        <f>Tbl_A2_Syntax_01[[#This Row],[Member Dues Year 1]]=Tbl_A2_Syntax_01[[#This Row],[Member Dues Year 2]]</f>
        <v>0</v>
      </c>
      <c r="R16" s="70"/>
      <c r="S16" s="23" t="str">
        <f>IFERROR(IF(Tbl_A2_Syntax_01[[#This Row],[Is Y1 Not Equal to Y2]]="","",IF(AND(_xlfn.ISFORMULA(Tbl_A2_Syntax_01[[#This Row],[Is Y1 Not Equal to Y2]]),EXACT(Tbl_A2_Syntax_01[[#This Row],[Is Y1 Not Equal to Y2]],Tbl_A2_Syntax_01[[#This Row],[Is Y1 Not Equal to Y2 ANS]])),Rng_Lkp_AnswerStatus_Good,Rng_Lkp_AnswerStatus_Bad)),Rng_Lkp_AnswerStatus_Bad)</f>
        <v/>
      </c>
      <c r="T16" s="71" t="b">
        <f>Tbl_A2_Syntax_01[[#This Row],[Member Dues Year 1]]&lt;&gt;Tbl_A2_Syntax_01[[#This Row],[Member Dues Year 2]]</f>
        <v>1</v>
      </c>
      <c r="U16" s="73"/>
      <c r="V16" s="23" t="str">
        <f>IFERROR(IF(Tbl_A2_Syntax_01[[#This Row],[Account ID: Full Name]]="","",IF(AND(_xlfn.ISFORMULA(Tbl_A2_Syntax_01[[#This Row],[Account ID: Full Name]]),EXACT(Tbl_A2_Syntax_01[[#This Row],[Account ID: Full Name]],Tbl_A2_Syntax_01[[#This Row],[Account ID: Full Name ANS]])),Rng_Lkp_AnswerStatus_Good,Rng_Lkp_AnswerStatus_Bad)),Rng_Lkp_AnswerStatus_Bad)</f>
        <v/>
      </c>
      <c r="W16" s="75" t="str">
        <f>Tbl_A2_Syntax_01[[#This Row],[Account ID]] &amp; ": " &amp; Tbl_A2_Syntax_01[[#This Row],[Full Name]]</f>
        <v>1066: Lisha Centini</v>
      </c>
    </row>
    <row r="17" spans="2:23" x14ac:dyDescent="0.25">
      <c r="B17" s="11">
        <v>2316</v>
      </c>
      <c r="C17" s="12" t="s">
        <v>109</v>
      </c>
      <c r="D17" s="76">
        <v>72</v>
      </c>
      <c r="E17" s="76">
        <v>18</v>
      </c>
      <c r="F17" s="68"/>
      <c r="G17" s="23" t="str">
        <f>IFERROR(IF(Tbl_A2_Syntax_01[[#This Row],[% Change (Y2 - Y1) / Y1]]="","",IF(AND(_xlfn.ISFORMULA(Tbl_A2_Syntax_01[[#This Row],[% Change (Y2 - Y1) / Y1]]),EXACT(Tbl_A2_Syntax_01[[#This Row],[% Change (Y2 - Y1) / Y1]],Tbl_A2_Syntax_01[[#This Row],[% Change (Y2 - Y1) / Y1 ANS]])),Rng_Lkp_AnswerStatus_Good,Rng_Lkp_AnswerStatus_Bad)),Rng_Lkp_AnswerStatus_Bad)</f>
        <v/>
      </c>
      <c r="H17" s="39">
        <f>(Tbl_A2_Syntax_01[[#This Row],[Member Dues Year 2]]-Tbl_A2_Syntax_01[[#This Row],[Member Dues Year 1]])/Tbl_A2_Syntax_01[[#This Row],[Member Dues Year 1]]</f>
        <v>-0.75</v>
      </c>
      <c r="I17" s="90"/>
      <c r="J17" s="23" t="str">
        <f>IFERROR(IF(Tbl_A2_Syntax_01[[#This Row],[Member Dues Y1^2]]="","",IF(AND(_xlfn.ISFORMULA(Tbl_A2_Syntax_01[[#This Row],[Member Dues Y1^2]]),EXACT(Tbl_A2_Syntax_01[[#This Row],[Member Dues Y1^2]],Tbl_A2_Syntax_01[[#This Row],[Member Dues Y1^2 ANS]])),Rng_Lkp_AnswerStatus_Good,Rng_Lkp_AnswerStatus_Bad)),Rng_Lkp_AnswerStatus_Bad)</f>
        <v/>
      </c>
      <c r="K17" s="91">
        <f>Tbl_A2_Syntax_01[[#This Row],[Member Dues Year 1]]^2</f>
        <v>5184</v>
      </c>
      <c r="L17" s="70"/>
      <c r="M17" s="23" t="str">
        <f>IFERROR(IF(Tbl_A2_Syntax_01[[#This Row],[Is Y1 Less Than or Equal to Y2]]="","",IF(AND(_xlfn.ISFORMULA(Tbl_A2_Syntax_01[[#This Row],[Is Y1 Less Than or Equal to Y2]]),EXACT(Tbl_A2_Syntax_01[[#This Row],[Is Y1 Less Than or Equal to Y2]],Tbl_A2_Syntax_01[[#This Row],[Is Y1 Less Than or Equal to Y2 ANS]])),Rng_Lkp_AnswerStatus_Good,Rng_Lkp_AnswerStatus_Bad)),Rng_Lkp_AnswerStatus_Bad)</f>
        <v/>
      </c>
      <c r="N17" s="21" t="b">
        <f>Tbl_A2_Syntax_01[[#This Row],[Member Dues Year 1]]&lt;=Tbl_A2_Syntax_01[[#This Row],[Member Dues Year 2]]</f>
        <v>0</v>
      </c>
      <c r="O17" s="70"/>
      <c r="P17" s="23" t="str">
        <f>IFERROR(IF(Tbl_A2_Syntax_01[[#This Row],[Is Y1 Equal to Y2]]="","",IF(AND(_xlfn.ISFORMULA(Tbl_A2_Syntax_01[[#This Row],[Is Y1 Equal to Y2]]),EXACT(Tbl_A2_Syntax_01[[#This Row],[Is Y1 Equal to Y2]],Tbl_A2_Syntax_01[[#This Row],[Is Y1 Equal to Y2 ANS]])),Rng_Lkp_AnswerStatus_Good,Rng_Lkp_AnswerStatus_Bad)),Rng_Lkp_AnswerStatus_Bad)</f>
        <v/>
      </c>
      <c r="Q17" s="71" t="b">
        <f>Tbl_A2_Syntax_01[[#This Row],[Member Dues Year 1]]=Tbl_A2_Syntax_01[[#This Row],[Member Dues Year 2]]</f>
        <v>0</v>
      </c>
      <c r="R17" s="70"/>
      <c r="S17" s="23" t="str">
        <f>IFERROR(IF(Tbl_A2_Syntax_01[[#This Row],[Is Y1 Not Equal to Y2]]="","",IF(AND(_xlfn.ISFORMULA(Tbl_A2_Syntax_01[[#This Row],[Is Y1 Not Equal to Y2]]),EXACT(Tbl_A2_Syntax_01[[#This Row],[Is Y1 Not Equal to Y2]],Tbl_A2_Syntax_01[[#This Row],[Is Y1 Not Equal to Y2 ANS]])),Rng_Lkp_AnswerStatus_Good,Rng_Lkp_AnswerStatus_Bad)),Rng_Lkp_AnswerStatus_Bad)</f>
        <v/>
      </c>
      <c r="T17" s="71" t="b">
        <f>Tbl_A2_Syntax_01[[#This Row],[Member Dues Year 1]]&lt;&gt;Tbl_A2_Syntax_01[[#This Row],[Member Dues Year 2]]</f>
        <v>1</v>
      </c>
      <c r="U17" s="73"/>
      <c r="V17" s="23" t="str">
        <f>IFERROR(IF(Tbl_A2_Syntax_01[[#This Row],[Account ID: Full Name]]="","",IF(AND(_xlfn.ISFORMULA(Tbl_A2_Syntax_01[[#This Row],[Account ID: Full Name]]),EXACT(Tbl_A2_Syntax_01[[#This Row],[Account ID: Full Name]],Tbl_A2_Syntax_01[[#This Row],[Account ID: Full Name ANS]])),Rng_Lkp_AnswerStatus_Good,Rng_Lkp_AnswerStatus_Bad)),Rng_Lkp_AnswerStatus_Bad)</f>
        <v/>
      </c>
      <c r="W17" s="75" t="str">
        <f>Tbl_A2_Syntax_01[[#This Row],[Account ID]] &amp; ": " &amp; Tbl_A2_Syntax_01[[#This Row],[Full Name]]</f>
        <v>2316: Arlene Klus</v>
      </c>
    </row>
  </sheetData>
  <conditionalFormatting sqref="B5:B6 G6 J6 M6 P6 S6 V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B8:W17">
    <cfRule type="cellIs" dxfId="9" priority="2" operator="equal">
      <formula>Rng_Lkp_AnswerStatus_Bad</formula>
    </cfRule>
    <cfRule type="cellIs" dxfId="8" priority="3" operator="equal">
      <formula>Rng_Lkp_AnswerStatus_Good</formula>
    </cfRule>
  </conditionalFormatting>
  <pageMargins left="0.7" right="0.7" top="0.75" bottom="0.75" header="0.3" footer="0.3"/>
  <pageSetup paperSize="121" orientation="portrait" horizontalDpi="300" verticalDpi="30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6467B-C783-439C-8A43-BD4431CC44F3}">
  <sheetPr>
    <tabColor theme="8"/>
  </sheetPr>
  <dimension ref="A1:K17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8" sqref="E8"/>
    </sheetView>
  </sheetViews>
  <sheetFormatPr defaultColWidth="9.140625" defaultRowHeight="15" outlineLevelRow="1" outlineLevelCol="1" x14ac:dyDescent="0.25"/>
  <cols>
    <col min="1" max="1" width="2.5703125" style="10" customWidth="1"/>
    <col min="2" max="2" width="8.140625" style="10" bestFit="1" customWidth="1"/>
    <col min="3" max="3" width="13.85546875" style="10" bestFit="1" customWidth="1"/>
    <col min="4" max="4" width="5.5703125" style="10" bestFit="1" customWidth="1"/>
    <col min="5" max="5" width="14.140625" style="10" bestFit="1" customWidth="1"/>
    <col min="6" max="6" width="8.140625" style="10" bestFit="1" customWidth="1"/>
    <col min="7" max="7" width="17.28515625" style="10" hidden="1" customWidth="1" outlineLevel="1"/>
    <col min="8" max="8" width="27.7109375" style="10" customWidth="1" collapsed="1"/>
    <col min="9" max="9" width="8.140625" style="10" bestFit="1" customWidth="1"/>
    <col min="10" max="10" width="29.140625" style="10" hidden="1" customWidth="1" outlineLevel="1"/>
    <col min="11" max="11" width="9.140625" style="10" collapsed="1"/>
    <col min="12" max="16384" width="9.140625" style="10"/>
  </cols>
  <sheetData>
    <row r="1" spans="1:10" s="8" customFormat="1" ht="21" x14ac:dyDescent="0.35">
      <c r="A1" s="84"/>
      <c r="B1" s="4"/>
      <c r="E1" s="92" t="s">
        <v>92</v>
      </c>
    </row>
    <row r="2" spans="1:10" s="8" customFormat="1" ht="18.75" x14ac:dyDescent="0.3">
      <c r="A2" s="85"/>
      <c r="B2" s="9"/>
      <c r="E2" s="93" t="s">
        <v>126</v>
      </c>
    </row>
    <row r="3" spans="1:10" ht="6.95" customHeight="1" x14ac:dyDescent="0.25"/>
    <row r="4" spans="1:10" x14ac:dyDescent="0.25">
      <c r="D4" s="13" t="s">
        <v>102</v>
      </c>
      <c r="E4" s="26">
        <v>1</v>
      </c>
      <c r="F4" s="14"/>
      <c r="G4" s="14"/>
      <c r="H4" s="26">
        <v>2</v>
      </c>
      <c r="I4" s="14"/>
      <c r="J4" s="14"/>
    </row>
    <row r="5" spans="1:10" hidden="1" outlineLevel="1" x14ac:dyDescent="0.25">
      <c r="B5" s="34" t="str">
        <f>IFERROR(IF(SUMIFS(E5:J5,E4:J4,"&gt;=0")=0,"",SUMIFS(E5:J5,E4:J4,"&gt;=0")/SUMIFS(E5:J5,E6:J6,"ANSWER")),"")</f>
        <v/>
      </c>
      <c r="C5" s="31" t="s">
        <v>28</v>
      </c>
      <c r="D5" s="42"/>
      <c r="E5" s="32">
        <f>IFERROR(COUNTA(Tbl_B3_Placeholders_01[Is State "NY" ("blah true" or "blah false")]),"")</f>
        <v>0</v>
      </c>
      <c r="F5" s="33">
        <f>IFERROR(COUNTIF(Tbl_B3_Placeholders_01[Answer Status Q01],Rng_Lkp_AnswerStatus_Good),"")</f>
        <v>0</v>
      </c>
      <c r="G5" s="33">
        <f>IFERROR(COUNTA(Tbl_B3_Placeholders_01[Is State "NY" ("blah true" or "blah false") ANS]),"")</f>
        <v>10</v>
      </c>
      <c r="H5" s="32">
        <f>IFERROR(COUNTA(Tbl_B3_Placeholders_01[Is State "NY" (If true, show Account ID: Full Name. If false, show Account ID-State)]),"")</f>
        <v>0</v>
      </c>
      <c r="I5" s="33">
        <f>IFERROR(COUNTIF(Tbl_B3_Placeholders_01[Answer Status Q02],Rng_Lkp_AnswerStatus_Good),"")</f>
        <v>0</v>
      </c>
      <c r="J5" s="33">
        <f>IFERROR(COUNTA(Tbl_B3_Placeholders_01[Is State "NY" (If true, show Account ID: Full Name. If false, show Account ID-State) ANS]),"")</f>
        <v>10</v>
      </c>
    </row>
    <row r="6" spans="1:10" collapsed="1" x14ac:dyDescent="0.25">
      <c r="B6" s="34" t="str">
        <f>IFERROR(IF(SUMIFS(E5:J5,E4:J4,"&gt;=0")=0,"",SUMIFS(E5:J5,E6:J6,"&gt;=0", E6:J6,"&lt;=1")/SUMIFS(E5:J5,E4:J4,"&gt;0")),"")</f>
        <v/>
      </c>
      <c r="C6" s="31" t="s">
        <v>29</v>
      </c>
      <c r="D6" s="42"/>
      <c r="E6" s="26" t="s">
        <v>41</v>
      </c>
      <c r="F6" s="24" t="str">
        <f>IFERROR(F5/E5,"")</f>
        <v/>
      </c>
      <c r="G6" s="27" t="s">
        <v>11</v>
      </c>
      <c r="H6" s="26" t="s">
        <v>41</v>
      </c>
      <c r="I6" s="24" t="str">
        <f>IFERROR(I5/H5,"")</f>
        <v/>
      </c>
      <c r="J6" s="27" t="s">
        <v>11</v>
      </c>
    </row>
    <row r="7" spans="1:10" ht="45" x14ac:dyDescent="0.25">
      <c r="B7" s="17" t="s">
        <v>2</v>
      </c>
      <c r="C7" s="17" t="s">
        <v>3</v>
      </c>
      <c r="D7" s="17" t="s">
        <v>33</v>
      </c>
      <c r="E7" s="25" t="s">
        <v>100</v>
      </c>
      <c r="F7" s="22" t="s">
        <v>18</v>
      </c>
      <c r="G7" s="28" t="s">
        <v>101</v>
      </c>
      <c r="H7" s="25" t="s">
        <v>128</v>
      </c>
      <c r="I7" s="22" t="s">
        <v>19</v>
      </c>
      <c r="J7" s="28" t="s">
        <v>129</v>
      </c>
    </row>
    <row r="8" spans="1:10" x14ac:dyDescent="0.25">
      <c r="B8" s="11">
        <v>4405</v>
      </c>
      <c r="C8" s="12" t="s">
        <v>108</v>
      </c>
      <c r="D8" s="12" t="s">
        <v>34</v>
      </c>
      <c r="E8" s="77"/>
      <c r="F8" s="23" t="str">
        <f>IFERROR(IF(Tbl_B3_Placeholders_01[[#This Row],[Is State "NY" ("blah true" or "blah false")]]="","",IF(AND(_xlfn.ISFORMULA(Tbl_B3_Placeholders_01[[#This Row],[Is State "NY" ("blah true" or "blah false")]]),EXACT(Tbl_B3_Placeholders_01[[#This Row],[Is State "NY" ("blah true" or "blah false")]],Tbl_B3_Placeholders_01[[#This Row],[Is State "NY" ("blah true" or "blah false") ANS]])),Rng_Lkp_AnswerStatus_Good,Rng_Lkp_AnswerStatus_Bad)),Rng_Lkp_AnswerStatus_Bad)</f>
        <v/>
      </c>
      <c r="G8" s="37" t="str">
        <f>IF(Tbl_B3_Placeholders_01[[#This Row],[State]]="NY","blah true","blah false")</f>
        <v>blah true</v>
      </c>
      <c r="H8" s="77"/>
      <c r="I8" s="23" t="str">
        <f>IFERROR(IF(Tbl_B3_Placeholders_01[[#This Row],[Is State "NY" (If true, show Account ID: Full Name. If false, show Account ID-State)]]="","",IF(AND(_xlfn.ISFORMULA(Tbl_B3_Placeholders_01[[#This Row],[Is State "NY" (If true, show Account ID: Full Name. If false, show Account ID-State)]]),EXACT(Tbl_B3_Placeholders_01[[#This Row],[Is State "NY" (If true, show Account ID: Full Name. If false, show Account ID-State)]],Tbl_B3_Placeholders_01[[#This Row],[Is State "NY" (If true, show Account ID: Full Name. If false, show Account ID-State) ANS]])),Rng_Lkp_AnswerStatus_Good,Rng_Lkp_AnswerStatus_Bad)),Rng_Lkp_AnswerStatus_Bad)</f>
        <v/>
      </c>
      <c r="J8" s="37" t="str">
        <f>IF(Tbl_B3_Placeholders_01[[#This Row],[State]]="NY",Tbl_B3_Placeholders_01[[#This Row],[Account ID]] &amp; ": " &amp; Tbl_B3_Placeholders_01[[#This Row],[Full Name]],Tbl_B3_Placeholders_01[[#This Row],[Account ID]] &amp; "-" &amp; Tbl_B3_Placeholders_01[[#This Row],[State]])</f>
        <v>4405: Tammy Ward</v>
      </c>
    </row>
    <row r="9" spans="1:10" x14ac:dyDescent="0.25">
      <c r="B9" s="11">
        <v>1030</v>
      </c>
      <c r="C9" s="12" t="s">
        <v>4</v>
      </c>
      <c r="D9" s="12" t="s">
        <v>35</v>
      </c>
      <c r="E9" s="78"/>
      <c r="F9" s="23" t="str">
        <f>IFERROR(IF(Tbl_B3_Placeholders_01[[#This Row],[Is State "NY" ("blah true" or "blah false")]]="","",IF(AND(_xlfn.ISFORMULA(Tbl_B3_Placeholders_01[[#This Row],[Is State "NY" ("blah true" or "blah false")]]),EXACT(Tbl_B3_Placeholders_01[[#This Row],[Is State "NY" ("blah true" or "blah false")]],Tbl_B3_Placeholders_01[[#This Row],[Is State "NY" ("blah true" or "blah false") ANS]])),Rng_Lkp_AnswerStatus_Good,Rng_Lkp_AnswerStatus_Bad)),Rng_Lkp_AnswerStatus_Bad)</f>
        <v/>
      </c>
      <c r="G9" s="37" t="str">
        <f>IF(Tbl_B3_Placeholders_01[[#This Row],[State]]="NY","blah true","blah false")</f>
        <v>blah false</v>
      </c>
      <c r="H9" s="78"/>
      <c r="I9" s="23" t="str">
        <f>IFERROR(IF(Tbl_B3_Placeholders_01[[#This Row],[Is State "NY" (If true, show Account ID: Full Name. If false, show Account ID-State)]]="","",IF(AND(_xlfn.ISFORMULA(Tbl_B3_Placeholders_01[[#This Row],[Is State "NY" (If true, show Account ID: Full Name. If false, show Account ID-State)]]),EXACT(Tbl_B3_Placeholders_01[[#This Row],[Is State "NY" (If true, show Account ID: Full Name. If false, show Account ID-State)]],Tbl_B3_Placeholders_01[[#This Row],[Is State "NY" (If true, show Account ID: Full Name. If false, show Account ID-State) ANS]])),Rng_Lkp_AnswerStatus_Good,Rng_Lkp_AnswerStatus_Bad)),Rng_Lkp_AnswerStatus_Bad)</f>
        <v/>
      </c>
      <c r="J9" s="37" t="str">
        <f>IF(Tbl_B3_Placeholders_01[[#This Row],[State]]="NY",Tbl_B3_Placeholders_01[[#This Row],[Account ID]] &amp; ": " &amp; Tbl_B3_Placeholders_01[[#This Row],[Full Name]],Tbl_B3_Placeholders_01[[#This Row],[Account ID]] &amp; "-" &amp; Tbl_B3_Placeholders_01[[#This Row],[State]])</f>
        <v>1030-CT</v>
      </c>
    </row>
    <row r="10" spans="1:10" x14ac:dyDescent="0.25">
      <c r="B10" s="11">
        <v>1603</v>
      </c>
      <c r="C10" s="12" t="s">
        <v>107</v>
      </c>
      <c r="D10" s="12" t="s">
        <v>34</v>
      </c>
      <c r="E10" s="78"/>
      <c r="F10" s="23" t="str">
        <f>IFERROR(IF(Tbl_B3_Placeholders_01[[#This Row],[Is State "NY" ("blah true" or "blah false")]]="","",IF(AND(_xlfn.ISFORMULA(Tbl_B3_Placeholders_01[[#This Row],[Is State "NY" ("blah true" or "blah false")]]),EXACT(Tbl_B3_Placeholders_01[[#This Row],[Is State "NY" ("blah true" or "blah false")]],Tbl_B3_Placeholders_01[[#This Row],[Is State "NY" ("blah true" or "blah false") ANS]])),Rng_Lkp_AnswerStatus_Good,Rng_Lkp_AnswerStatus_Bad)),Rng_Lkp_AnswerStatus_Bad)</f>
        <v/>
      </c>
      <c r="G10" s="37" t="str">
        <f>IF(Tbl_B3_Placeholders_01[[#This Row],[State]]="NY","blah true","blah false")</f>
        <v>blah true</v>
      </c>
      <c r="H10" s="78"/>
      <c r="I10" s="23" t="str">
        <f>IFERROR(IF(Tbl_B3_Placeholders_01[[#This Row],[Is State "NY" (If true, show Account ID: Full Name. If false, show Account ID-State)]]="","",IF(AND(_xlfn.ISFORMULA(Tbl_B3_Placeholders_01[[#This Row],[Is State "NY" (If true, show Account ID: Full Name. If false, show Account ID-State)]]),EXACT(Tbl_B3_Placeholders_01[[#This Row],[Is State "NY" (If true, show Account ID: Full Name. If false, show Account ID-State)]],Tbl_B3_Placeholders_01[[#This Row],[Is State "NY" (If true, show Account ID: Full Name. If false, show Account ID-State) ANS]])),Rng_Lkp_AnswerStatus_Good,Rng_Lkp_AnswerStatus_Bad)),Rng_Lkp_AnswerStatus_Bad)</f>
        <v/>
      </c>
      <c r="J10" s="37" t="str">
        <f>IF(Tbl_B3_Placeholders_01[[#This Row],[State]]="NY",Tbl_B3_Placeholders_01[[#This Row],[Account ID]] &amp; ": " &amp; Tbl_B3_Placeholders_01[[#This Row],[Full Name]],Tbl_B3_Placeholders_01[[#This Row],[Account ID]] &amp; "-" &amp; Tbl_B3_Placeholders_01[[#This Row],[State]])</f>
        <v>1603: Danica Brusch</v>
      </c>
    </row>
    <row r="11" spans="1:10" x14ac:dyDescent="0.25">
      <c r="B11" s="11">
        <v>4298</v>
      </c>
      <c r="C11" s="12" t="s">
        <v>5</v>
      </c>
      <c r="D11" s="12" t="s">
        <v>37</v>
      </c>
      <c r="E11" s="78"/>
      <c r="F11" s="23" t="str">
        <f>IFERROR(IF(Tbl_B3_Placeholders_01[[#This Row],[Is State "NY" ("blah true" or "blah false")]]="","",IF(AND(_xlfn.ISFORMULA(Tbl_B3_Placeholders_01[[#This Row],[Is State "NY" ("blah true" or "blah false")]]),EXACT(Tbl_B3_Placeholders_01[[#This Row],[Is State "NY" ("blah true" or "blah false")]],Tbl_B3_Placeholders_01[[#This Row],[Is State "NY" ("blah true" or "blah false") ANS]])),Rng_Lkp_AnswerStatus_Good,Rng_Lkp_AnswerStatus_Bad)),Rng_Lkp_AnswerStatus_Bad)</f>
        <v/>
      </c>
      <c r="G11" s="37" t="str">
        <f>IF(Tbl_B3_Placeholders_01[[#This Row],[State]]="NY","blah true","blah false")</f>
        <v>blah false</v>
      </c>
      <c r="H11" s="78"/>
      <c r="I11" s="23" t="str">
        <f>IFERROR(IF(Tbl_B3_Placeholders_01[[#This Row],[Is State "NY" (If true, show Account ID: Full Name. If false, show Account ID-State)]]="","",IF(AND(_xlfn.ISFORMULA(Tbl_B3_Placeholders_01[[#This Row],[Is State "NY" (If true, show Account ID: Full Name. If false, show Account ID-State)]]),EXACT(Tbl_B3_Placeholders_01[[#This Row],[Is State "NY" (If true, show Account ID: Full Name. If false, show Account ID-State)]],Tbl_B3_Placeholders_01[[#This Row],[Is State "NY" (If true, show Account ID: Full Name. If false, show Account ID-State) ANS]])),Rng_Lkp_AnswerStatus_Good,Rng_Lkp_AnswerStatus_Bad)),Rng_Lkp_AnswerStatus_Bad)</f>
        <v/>
      </c>
      <c r="J11" s="37" t="str">
        <f>IF(Tbl_B3_Placeholders_01[[#This Row],[State]]="NY",Tbl_B3_Placeholders_01[[#This Row],[Account ID]] &amp; ": " &amp; Tbl_B3_Placeholders_01[[#This Row],[Full Name]],Tbl_B3_Placeholders_01[[#This Row],[Account ID]] &amp; "-" &amp; Tbl_B3_Placeholders_01[[#This Row],[State]])</f>
        <v>4298-MA</v>
      </c>
    </row>
    <row r="12" spans="1:10" x14ac:dyDescent="0.25">
      <c r="B12" s="11">
        <v>2352</v>
      </c>
      <c r="C12" s="12" t="s">
        <v>104</v>
      </c>
      <c r="D12" s="12" t="s">
        <v>38</v>
      </c>
      <c r="E12" s="78"/>
      <c r="F12" s="23" t="str">
        <f>IFERROR(IF(Tbl_B3_Placeholders_01[[#This Row],[Is State "NY" ("blah true" or "blah false")]]="","",IF(AND(_xlfn.ISFORMULA(Tbl_B3_Placeholders_01[[#This Row],[Is State "NY" ("blah true" or "blah false")]]),EXACT(Tbl_B3_Placeholders_01[[#This Row],[Is State "NY" ("blah true" or "blah false")]],Tbl_B3_Placeholders_01[[#This Row],[Is State "NY" ("blah true" or "blah false") ANS]])),Rng_Lkp_AnswerStatus_Good,Rng_Lkp_AnswerStatus_Bad)),Rng_Lkp_AnswerStatus_Bad)</f>
        <v/>
      </c>
      <c r="G12" s="37" t="str">
        <f>IF(Tbl_B3_Placeholders_01[[#This Row],[State]]="NY","blah true","blah false")</f>
        <v>blah false</v>
      </c>
      <c r="H12" s="78"/>
      <c r="I12" s="23" t="str">
        <f>IFERROR(IF(Tbl_B3_Placeholders_01[[#This Row],[Is State "NY" (If true, show Account ID: Full Name. If false, show Account ID-State)]]="","",IF(AND(_xlfn.ISFORMULA(Tbl_B3_Placeholders_01[[#This Row],[Is State "NY" (If true, show Account ID: Full Name. If false, show Account ID-State)]]),EXACT(Tbl_B3_Placeholders_01[[#This Row],[Is State "NY" (If true, show Account ID: Full Name. If false, show Account ID-State)]],Tbl_B3_Placeholders_01[[#This Row],[Is State "NY" (If true, show Account ID: Full Name. If false, show Account ID-State) ANS]])),Rng_Lkp_AnswerStatus_Good,Rng_Lkp_AnswerStatus_Bad)),Rng_Lkp_AnswerStatus_Bad)</f>
        <v/>
      </c>
      <c r="J12" s="37" t="str">
        <f>IF(Tbl_B3_Placeholders_01[[#This Row],[State]]="NY",Tbl_B3_Placeholders_01[[#This Row],[Account ID]] &amp; ": " &amp; Tbl_B3_Placeholders_01[[#This Row],[Full Name]],Tbl_B3_Placeholders_01[[#This Row],[Account ID]] &amp; "-" &amp; Tbl_B3_Placeholders_01[[#This Row],[State]])</f>
        <v>2352-IN</v>
      </c>
    </row>
    <row r="13" spans="1:10" x14ac:dyDescent="0.25">
      <c r="B13" s="11">
        <v>1049</v>
      </c>
      <c r="C13" s="12" t="s">
        <v>105</v>
      </c>
      <c r="D13" s="12" t="s">
        <v>34</v>
      </c>
      <c r="E13" s="78"/>
      <c r="F13" s="23" t="str">
        <f>IFERROR(IF(Tbl_B3_Placeholders_01[[#This Row],[Is State "NY" ("blah true" or "blah false")]]="","",IF(AND(_xlfn.ISFORMULA(Tbl_B3_Placeholders_01[[#This Row],[Is State "NY" ("blah true" or "blah false")]]),EXACT(Tbl_B3_Placeholders_01[[#This Row],[Is State "NY" ("blah true" or "blah false")]],Tbl_B3_Placeholders_01[[#This Row],[Is State "NY" ("blah true" or "blah false") ANS]])),Rng_Lkp_AnswerStatus_Good,Rng_Lkp_AnswerStatus_Bad)),Rng_Lkp_AnswerStatus_Bad)</f>
        <v/>
      </c>
      <c r="G13" s="37" t="str">
        <f>IF(Tbl_B3_Placeholders_01[[#This Row],[State]]="NY","blah true","blah false")</f>
        <v>blah true</v>
      </c>
      <c r="H13" s="78"/>
      <c r="I13" s="23" t="str">
        <f>IFERROR(IF(Tbl_B3_Placeholders_01[[#This Row],[Is State "NY" (If true, show Account ID: Full Name. If false, show Account ID-State)]]="","",IF(AND(_xlfn.ISFORMULA(Tbl_B3_Placeholders_01[[#This Row],[Is State "NY" (If true, show Account ID: Full Name. If false, show Account ID-State)]]),EXACT(Tbl_B3_Placeholders_01[[#This Row],[Is State "NY" (If true, show Account ID: Full Name. If false, show Account ID-State)]],Tbl_B3_Placeholders_01[[#This Row],[Is State "NY" (If true, show Account ID: Full Name. If false, show Account ID-State) ANS]])),Rng_Lkp_AnswerStatus_Good,Rng_Lkp_AnswerStatus_Bad)),Rng_Lkp_AnswerStatus_Bad)</f>
        <v/>
      </c>
      <c r="J13" s="37" t="str">
        <f>IF(Tbl_B3_Placeholders_01[[#This Row],[State]]="NY",Tbl_B3_Placeholders_01[[#This Row],[Account ID]] &amp; ": " &amp; Tbl_B3_Placeholders_01[[#This Row],[Full Name]],Tbl_B3_Placeholders_01[[#This Row],[Account ID]] &amp; "-" &amp; Tbl_B3_Placeholders_01[[#This Row],[State]])</f>
        <v>1049: Carma Heusen</v>
      </c>
    </row>
    <row r="14" spans="1:10" x14ac:dyDescent="0.25">
      <c r="B14" s="11">
        <v>2278</v>
      </c>
      <c r="C14" s="12" t="s">
        <v>106</v>
      </c>
      <c r="D14" s="12" t="s">
        <v>36</v>
      </c>
      <c r="E14" s="78"/>
      <c r="F14" s="23" t="str">
        <f>IFERROR(IF(Tbl_B3_Placeholders_01[[#This Row],[Is State "NY" ("blah true" or "blah false")]]="","",IF(AND(_xlfn.ISFORMULA(Tbl_B3_Placeholders_01[[#This Row],[Is State "NY" ("blah true" or "blah false")]]),EXACT(Tbl_B3_Placeholders_01[[#This Row],[Is State "NY" ("blah true" or "blah false")]],Tbl_B3_Placeholders_01[[#This Row],[Is State "NY" ("blah true" or "blah false") ANS]])),Rng_Lkp_AnswerStatus_Good,Rng_Lkp_AnswerStatus_Bad)),Rng_Lkp_AnswerStatus_Bad)</f>
        <v/>
      </c>
      <c r="G14" s="37" t="str">
        <f>IF(Tbl_B3_Placeholders_01[[#This Row],[State]]="NY","blah true","blah false")</f>
        <v>blah false</v>
      </c>
      <c r="H14" s="78"/>
      <c r="I14" s="23" t="str">
        <f>IFERROR(IF(Tbl_B3_Placeholders_01[[#This Row],[Is State "NY" (If true, show Account ID: Full Name. If false, show Account ID-State)]]="","",IF(AND(_xlfn.ISFORMULA(Tbl_B3_Placeholders_01[[#This Row],[Is State "NY" (If true, show Account ID: Full Name. If false, show Account ID-State)]]),EXACT(Tbl_B3_Placeholders_01[[#This Row],[Is State "NY" (If true, show Account ID: Full Name. If false, show Account ID-State)]],Tbl_B3_Placeholders_01[[#This Row],[Is State "NY" (If true, show Account ID: Full Name. If false, show Account ID-State) ANS]])),Rng_Lkp_AnswerStatus_Good,Rng_Lkp_AnswerStatus_Bad)),Rng_Lkp_AnswerStatus_Bad)</f>
        <v/>
      </c>
      <c r="J14" s="37" t="str">
        <f>IF(Tbl_B3_Placeholders_01[[#This Row],[State]]="NY",Tbl_B3_Placeholders_01[[#This Row],[Account ID]] &amp; ": " &amp; Tbl_B3_Placeholders_01[[#This Row],[Full Name]],Tbl_B3_Placeholders_01[[#This Row],[Account ID]] &amp; "-" &amp; Tbl_B3_Placeholders_01[[#This Row],[State]])</f>
        <v>2278-NJ</v>
      </c>
    </row>
    <row r="15" spans="1:10" x14ac:dyDescent="0.25">
      <c r="B15" s="11">
        <v>4071</v>
      </c>
      <c r="C15" s="12" t="s">
        <v>6</v>
      </c>
      <c r="D15" s="12" t="s">
        <v>37</v>
      </c>
      <c r="E15" s="78"/>
      <c r="F15" s="23" t="str">
        <f>IFERROR(IF(Tbl_B3_Placeholders_01[[#This Row],[Is State "NY" ("blah true" or "blah false")]]="","",IF(AND(_xlfn.ISFORMULA(Tbl_B3_Placeholders_01[[#This Row],[Is State "NY" ("blah true" or "blah false")]]),EXACT(Tbl_B3_Placeholders_01[[#This Row],[Is State "NY" ("blah true" or "blah false")]],Tbl_B3_Placeholders_01[[#This Row],[Is State "NY" ("blah true" or "blah false") ANS]])),Rng_Lkp_AnswerStatus_Good,Rng_Lkp_AnswerStatus_Bad)),Rng_Lkp_AnswerStatus_Bad)</f>
        <v/>
      </c>
      <c r="G15" s="37" t="str">
        <f>IF(Tbl_B3_Placeholders_01[[#This Row],[State]]="NY","blah true","blah false")</f>
        <v>blah false</v>
      </c>
      <c r="H15" s="78"/>
      <c r="I15" s="23" t="str">
        <f>IFERROR(IF(Tbl_B3_Placeholders_01[[#This Row],[Is State "NY" (If true, show Account ID: Full Name. If false, show Account ID-State)]]="","",IF(AND(_xlfn.ISFORMULA(Tbl_B3_Placeholders_01[[#This Row],[Is State "NY" (If true, show Account ID: Full Name. If false, show Account ID-State)]]),EXACT(Tbl_B3_Placeholders_01[[#This Row],[Is State "NY" (If true, show Account ID: Full Name. If false, show Account ID-State)]],Tbl_B3_Placeholders_01[[#This Row],[Is State "NY" (If true, show Account ID: Full Name. If false, show Account ID-State) ANS]])),Rng_Lkp_AnswerStatus_Good,Rng_Lkp_AnswerStatus_Bad)),Rng_Lkp_AnswerStatus_Bad)</f>
        <v/>
      </c>
      <c r="J15" s="37" t="str">
        <f>IF(Tbl_B3_Placeholders_01[[#This Row],[State]]="NY",Tbl_B3_Placeholders_01[[#This Row],[Account ID]] &amp; ": " &amp; Tbl_B3_Placeholders_01[[#This Row],[Full Name]],Tbl_B3_Placeholders_01[[#This Row],[Account ID]] &amp; "-" &amp; Tbl_B3_Placeholders_01[[#This Row],[State]])</f>
        <v>4071-MA</v>
      </c>
    </row>
    <row r="16" spans="1:10" x14ac:dyDescent="0.25">
      <c r="B16" s="11">
        <v>1066</v>
      </c>
      <c r="C16" s="12" t="s">
        <v>7</v>
      </c>
      <c r="D16" s="12" t="s">
        <v>39</v>
      </c>
      <c r="E16" s="78"/>
      <c r="F16" s="23" t="str">
        <f>IFERROR(IF(Tbl_B3_Placeholders_01[[#This Row],[Is State "NY" ("blah true" or "blah false")]]="","",IF(AND(_xlfn.ISFORMULA(Tbl_B3_Placeholders_01[[#This Row],[Is State "NY" ("blah true" or "blah false")]]),EXACT(Tbl_B3_Placeholders_01[[#This Row],[Is State "NY" ("blah true" or "blah false")]],Tbl_B3_Placeholders_01[[#This Row],[Is State "NY" ("blah true" or "blah false") ANS]])),Rng_Lkp_AnswerStatus_Good,Rng_Lkp_AnswerStatus_Bad)),Rng_Lkp_AnswerStatus_Bad)</f>
        <v/>
      </c>
      <c r="G16" s="37" t="str">
        <f>IF(Tbl_B3_Placeholders_01[[#This Row],[State]]="NY","blah true","blah false")</f>
        <v>blah false</v>
      </c>
      <c r="H16" s="78"/>
      <c r="I16" s="23" t="str">
        <f>IFERROR(IF(Tbl_B3_Placeholders_01[[#This Row],[Is State "NY" (If true, show Account ID: Full Name. If false, show Account ID-State)]]="","",IF(AND(_xlfn.ISFORMULA(Tbl_B3_Placeholders_01[[#This Row],[Is State "NY" (If true, show Account ID: Full Name. If false, show Account ID-State)]]),EXACT(Tbl_B3_Placeholders_01[[#This Row],[Is State "NY" (If true, show Account ID: Full Name. If false, show Account ID-State)]],Tbl_B3_Placeholders_01[[#This Row],[Is State "NY" (If true, show Account ID: Full Name. If false, show Account ID-State) ANS]])),Rng_Lkp_AnswerStatus_Good,Rng_Lkp_AnswerStatus_Bad)),Rng_Lkp_AnswerStatus_Bad)</f>
        <v/>
      </c>
      <c r="J16" s="37" t="str">
        <f>IF(Tbl_B3_Placeholders_01[[#This Row],[State]]="NY",Tbl_B3_Placeholders_01[[#This Row],[Account ID]] &amp; ": " &amp; Tbl_B3_Placeholders_01[[#This Row],[Full Name]],Tbl_B3_Placeholders_01[[#This Row],[Account ID]] &amp; "-" &amp; Tbl_B3_Placeholders_01[[#This Row],[State]])</f>
        <v>1066-MD</v>
      </c>
    </row>
    <row r="17" spans="2:10" x14ac:dyDescent="0.25">
      <c r="B17" s="11">
        <v>2316</v>
      </c>
      <c r="C17" s="12" t="s">
        <v>109</v>
      </c>
      <c r="D17" s="12" t="s">
        <v>40</v>
      </c>
      <c r="E17" s="78"/>
      <c r="F17" s="23" t="str">
        <f>IFERROR(IF(Tbl_B3_Placeholders_01[[#This Row],[Is State "NY" ("blah true" or "blah false")]]="","",IF(AND(_xlfn.ISFORMULA(Tbl_B3_Placeholders_01[[#This Row],[Is State "NY" ("blah true" or "blah false")]]),EXACT(Tbl_B3_Placeholders_01[[#This Row],[Is State "NY" ("blah true" or "blah false")]],Tbl_B3_Placeholders_01[[#This Row],[Is State "NY" ("blah true" or "blah false") ANS]])),Rng_Lkp_AnswerStatus_Good,Rng_Lkp_AnswerStatus_Bad)),Rng_Lkp_AnswerStatus_Bad)</f>
        <v/>
      </c>
      <c r="G17" s="37" t="str">
        <f>IF(Tbl_B3_Placeholders_01[[#This Row],[State]]="NY","blah true","blah false")</f>
        <v>blah false</v>
      </c>
      <c r="H17" s="78"/>
      <c r="I17" s="23" t="str">
        <f>IFERROR(IF(Tbl_B3_Placeholders_01[[#This Row],[Is State "NY" (If true, show Account ID: Full Name. If false, show Account ID-State)]]="","",IF(AND(_xlfn.ISFORMULA(Tbl_B3_Placeholders_01[[#This Row],[Is State "NY" (If true, show Account ID: Full Name. If false, show Account ID-State)]]),EXACT(Tbl_B3_Placeholders_01[[#This Row],[Is State "NY" (If true, show Account ID: Full Name. If false, show Account ID-State)]],Tbl_B3_Placeholders_01[[#This Row],[Is State "NY" (If true, show Account ID: Full Name. If false, show Account ID-State) ANS]])),Rng_Lkp_AnswerStatus_Good,Rng_Lkp_AnswerStatus_Bad)),Rng_Lkp_AnswerStatus_Bad)</f>
        <v/>
      </c>
      <c r="J17" s="37" t="str">
        <f>IF(Tbl_B3_Placeholders_01[[#This Row],[State]]="NY",Tbl_B3_Placeholders_01[[#This Row],[Account ID]] &amp; ": " &amp; Tbl_B3_Placeholders_01[[#This Row],[Full Name]],Tbl_B3_Placeholders_01[[#This Row],[Account ID]] &amp; "-" &amp; Tbl_B3_Placeholders_01[[#This Row],[State]])</f>
        <v>2316-FL</v>
      </c>
    </row>
  </sheetData>
  <conditionalFormatting sqref="B5:B6 F6 I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B8:J17">
    <cfRule type="cellIs" dxfId="7" priority="2" operator="equal">
      <formula>Rng_Lkp_AnswerStatus_Bad</formula>
    </cfRule>
    <cfRule type="cellIs" dxfId="6" priority="3" operator="equal">
      <formula>Rng_Lkp_AnswerStatus_Good</formula>
    </cfRule>
  </conditionalFormatting>
  <pageMargins left="0.7" right="0.7" top="0.75" bottom="0.75" header="0.3" footer="0.3"/>
  <pageSetup paperSize="121" orientation="portrait" horizontalDpi="300" verticalDpi="300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E30A6-33ED-4049-8448-C30F849D5BB2}">
  <sheetPr>
    <tabColor theme="9"/>
  </sheetPr>
  <dimension ref="A1:Q17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7" sqref="A7"/>
      <selection pane="bottomRight" activeCell="E8" sqref="E8"/>
    </sheetView>
  </sheetViews>
  <sheetFormatPr defaultColWidth="9.140625" defaultRowHeight="15" outlineLevelRow="1" outlineLevelCol="1" x14ac:dyDescent="0.25"/>
  <cols>
    <col min="1" max="1" width="2.5703125" style="10" customWidth="1"/>
    <col min="2" max="2" width="8.140625" style="10" bestFit="1" customWidth="1"/>
    <col min="3" max="3" width="13.85546875" style="10" bestFit="1" customWidth="1"/>
    <col min="4" max="4" width="9.28515625" style="10" customWidth="1"/>
    <col min="5" max="5" width="5.7109375" style="10" customWidth="1"/>
    <col min="6" max="6" width="8.140625" style="10" bestFit="1" customWidth="1"/>
    <col min="7" max="7" width="9.42578125" style="10" hidden="1" customWidth="1" outlineLevel="1"/>
    <col min="8" max="8" width="7.85546875" style="10" bestFit="1" customWidth="1" collapsed="1"/>
    <col min="9" max="9" width="8.140625" style="10" bestFit="1" customWidth="1"/>
    <col min="10" max="10" width="9.42578125" style="10" hidden="1" customWidth="1" outlineLevel="1"/>
    <col min="11" max="11" width="5.7109375" style="10" customWidth="1" collapsed="1"/>
    <col min="12" max="12" width="8.140625" style="10" bestFit="1" customWidth="1"/>
    <col min="13" max="13" width="9.42578125" style="10" hidden="1" customWidth="1" outlineLevel="1"/>
    <col min="14" max="14" width="10.140625" style="10" bestFit="1" customWidth="1" collapsed="1"/>
    <col min="15" max="15" width="8.140625" style="10" bestFit="1" customWidth="1"/>
    <col min="16" max="16" width="10.7109375" style="10" hidden="1" customWidth="1" outlineLevel="1"/>
    <col min="17" max="17" width="9.140625" style="10" collapsed="1"/>
    <col min="18" max="16384" width="9.140625" style="10"/>
  </cols>
  <sheetData>
    <row r="1" spans="1:16" s="8" customFormat="1" ht="21" x14ac:dyDescent="0.35">
      <c r="A1" s="79"/>
      <c r="B1" s="4"/>
      <c r="E1" s="92" t="s">
        <v>99</v>
      </c>
    </row>
    <row r="2" spans="1:16" s="8" customFormat="1" ht="18.75" x14ac:dyDescent="0.3">
      <c r="A2" s="80"/>
      <c r="B2" s="9"/>
      <c r="E2" s="93" t="s">
        <v>126</v>
      </c>
    </row>
    <row r="3" spans="1:16" ht="6.95" customHeight="1" x14ac:dyDescent="0.25"/>
    <row r="4" spans="1:16" x14ac:dyDescent="0.25">
      <c r="D4" s="13" t="s">
        <v>102</v>
      </c>
      <c r="E4" s="26">
        <v>1</v>
      </c>
      <c r="F4" s="14"/>
      <c r="G4" s="14"/>
      <c r="H4" s="26">
        <v>2</v>
      </c>
      <c r="I4" s="14"/>
      <c r="J4" s="14"/>
      <c r="K4" s="26">
        <v>3</v>
      </c>
      <c r="L4" s="14"/>
      <c r="M4" s="14"/>
      <c r="N4" s="26">
        <v>4</v>
      </c>
      <c r="O4" s="14"/>
      <c r="P4" s="14"/>
    </row>
    <row r="5" spans="1:16" hidden="1" outlineLevel="1" x14ac:dyDescent="0.25">
      <c r="B5" s="34" t="str">
        <f>IFERROR(IF(SUMIFS(E5:P5,E4:P4,"&gt;=0")=0,"",SUMIFS(E5:P5,E4:P4,"&gt;=0")/SUMIFS(E5:P5,E6:P6,"ANSWER")),"")</f>
        <v/>
      </c>
      <c r="C5" s="31" t="s">
        <v>28</v>
      </c>
      <c r="D5" s="13"/>
      <c r="E5" s="32">
        <f>IFERROR(COUNTA(Tbl_B4_HelperColumns_01[Start Year]),"")</f>
        <v>0</v>
      </c>
      <c r="F5" s="33">
        <f>IFERROR(COUNTIF(Tbl_B4_HelperColumns_01[Answer Status Q01],Rng_Lkp_AnswerStatus_Good),"")</f>
        <v>0</v>
      </c>
      <c r="G5" s="33">
        <f>IFERROR(COUNTA(Tbl_B4_HelperColumns_01[Start Year ANS]),"")</f>
        <v>10</v>
      </c>
      <c r="H5" s="32">
        <f>IFERROR(COUNTA(Tbl_B4_HelperColumns_01[Start Month]),"")</f>
        <v>0</v>
      </c>
      <c r="I5" s="33">
        <f>IFERROR(COUNTIF(Tbl_B4_HelperColumns_01[Answer Status Q02],Rng_Lkp_AnswerStatus_Good),"")</f>
        <v>0</v>
      </c>
      <c r="J5" s="33">
        <f>IFERROR(COUNTA(Tbl_B4_HelperColumns_01[Start Month ANS]),"")</f>
        <v>10</v>
      </c>
      <c r="K5" s="32">
        <f>IFERROR(COUNTA(Tbl_B4_HelperColumns_01[Start Day]),"")</f>
        <v>0</v>
      </c>
      <c r="L5" s="33">
        <f>IFERROR(COUNTIF(Tbl_B4_HelperColumns_01[Answer Status Q03],Rng_Lkp_AnswerStatus_Good),"")</f>
        <v>0</v>
      </c>
      <c r="M5" s="33">
        <f>IFERROR(COUNTA(Tbl_B4_HelperColumns_01[Start Day ANS]),"")</f>
        <v>10</v>
      </c>
      <c r="N5" s="32">
        <f>IFERROR(COUNTA(Tbl_B4_HelperColumns_01[3 Months After Start Date]),"")</f>
        <v>0</v>
      </c>
      <c r="O5" s="33">
        <f>IFERROR(COUNTIF(Tbl_B4_HelperColumns_01[Answer Status Q04],Rng_Lkp_AnswerStatus_Good),"")</f>
        <v>0</v>
      </c>
      <c r="P5" s="33">
        <f>IFERROR(COUNTA(Tbl_B4_HelperColumns_01[3 Months After Start Date ANS]),"")</f>
        <v>10</v>
      </c>
    </row>
    <row r="6" spans="1:16" collapsed="1" x14ac:dyDescent="0.25">
      <c r="B6" s="34" t="str">
        <f>IFERROR(IF(SUMIFS(E5:P5,E4:P4,"&gt;=0")=0,"",SUMIFS(E5:P5,E6:P6,"&gt;=0", E6:P6,"&lt;=1")/SUMIFS(E5:P5,E4:P4,"&gt;0")),"")</f>
        <v/>
      </c>
      <c r="C6" s="31" t="s">
        <v>29</v>
      </c>
      <c r="E6" s="26" t="s">
        <v>9</v>
      </c>
      <c r="F6" s="24" t="str">
        <f>IFERROR(F5/E5,"")</f>
        <v/>
      </c>
      <c r="G6" s="27" t="s">
        <v>11</v>
      </c>
      <c r="H6" s="26" t="s">
        <v>16</v>
      </c>
      <c r="I6" s="24" t="str">
        <f>IFERROR(I5/H5,"")</f>
        <v/>
      </c>
      <c r="J6" s="27" t="s">
        <v>11</v>
      </c>
      <c r="K6" s="26" t="s">
        <v>21</v>
      </c>
      <c r="L6" s="24" t="str">
        <f>IFERROR(L5/K5,"")</f>
        <v/>
      </c>
      <c r="M6" s="27" t="s">
        <v>11</v>
      </c>
      <c r="N6" s="26" t="s">
        <v>22</v>
      </c>
      <c r="O6" s="24" t="str">
        <f>IFERROR(O5/N5,"")</f>
        <v/>
      </c>
      <c r="P6" s="27" t="s">
        <v>11</v>
      </c>
    </row>
    <row r="7" spans="1:16" ht="45" x14ac:dyDescent="0.25">
      <c r="B7" s="17" t="s">
        <v>2</v>
      </c>
      <c r="C7" s="17" t="s">
        <v>3</v>
      </c>
      <c r="D7" s="17" t="s">
        <v>103</v>
      </c>
      <c r="E7" s="25" t="s">
        <v>8</v>
      </c>
      <c r="F7" s="22" t="s">
        <v>18</v>
      </c>
      <c r="G7" s="28" t="s">
        <v>10</v>
      </c>
      <c r="H7" s="25" t="s">
        <v>15</v>
      </c>
      <c r="I7" s="22" t="s">
        <v>19</v>
      </c>
      <c r="J7" s="28" t="s">
        <v>17</v>
      </c>
      <c r="K7" s="25" t="s">
        <v>23</v>
      </c>
      <c r="L7" s="22" t="s">
        <v>20</v>
      </c>
      <c r="M7" s="28" t="s">
        <v>25</v>
      </c>
      <c r="N7" s="25" t="s">
        <v>24</v>
      </c>
      <c r="O7" s="22" t="s">
        <v>26</v>
      </c>
      <c r="P7" s="28" t="s">
        <v>27</v>
      </c>
    </row>
    <row r="8" spans="1:16" x14ac:dyDescent="0.25">
      <c r="B8" s="11">
        <v>4405</v>
      </c>
      <c r="C8" s="12" t="s">
        <v>108</v>
      </c>
      <c r="D8" s="12">
        <v>43466</v>
      </c>
      <c r="E8" s="35"/>
      <c r="F8" s="23" t="str">
        <f>IFERROR(IF(Tbl_B4_HelperColumns_01[[#This Row],[Start Year]]="","",IF(AND(_xlfn.ISFORMULA(Tbl_B4_HelperColumns_01[[#This Row],[Start Year]]),EXACT(Tbl_B4_HelperColumns_01[[#This Row],[Start Year]],Tbl_B4_HelperColumns_01[[#This Row],[Start Year ANS]])),Rng_Lkp_AnswerStatus_Good,Rng_Lkp_AnswerStatus_Bad)),Rng_Lkp_AnswerStatus_Bad)</f>
        <v/>
      </c>
      <c r="G8" s="37">
        <f>YEAR(Tbl_B4_HelperColumns_01[[#This Row],[Member Start Date]])</f>
        <v>2019</v>
      </c>
      <c r="H8" s="35"/>
      <c r="I8" s="23" t="str">
        <f>IFERROR(IF(Tbl_B4_HelperColumns_01[[#This Row],[Start Month]]="","",IF(AND(_xlfn.ISFORMULA(Tbl_B4_HelperColumns_01[[#This Row],[Start Month]]),EXACT(Tbl_B4_HelperColumns_01[[#This Row],[Start Month]],Tbl_B4_HelperColumns_01[[#This Row],[Start Month ANS]])),Rng_Lkp_AnswerStatus_Good,Rng_Lkp_AnswerStatus_Bad)),Rng_Lkp_AnswerStatus_Bad)</f>
        <v/>
      </c>
      <c r="J8" s="37">
        <f>MONTH(Tbl_B4_HelperColumns_01[[#This Row],[Member Start Date]])</f>
        <v>1</v>
      </c>
      <c r="K8" s="36"/>
      <c r="L8" s="23" t="str">
        <f>IFERROR(IF(Tbl_B4_HelperColumns_01[[#This Row],[Start Day]]="","",IF(AND(_xlfn.ISFORMULA(Tbl_B4_HelperColumns_01[[#This Row],[Start Day]]),EXACT(Tbl_B4_HelperColumns_01[[#This Row],[Start Day]],Tbl_B4_HelperColumns_01[[#This Row],[Start Day ANS]])),Rng_Lkp_AnswerStatus_Good,Rng_Lkp_AnswerStatus_Bad)),Rng_Lkp_AnswerStatus_Bad)</f>
        <v/>
      </c>
      <c r="M8" s="37">
        <f>DAY(Tbl_B4_HelperColumns_01[[#This Row],[Member Start Date]])</f>
        <v>1</v>
      </c>
      <c r="N8" s="29"/>
      <c r="O8" s="23" t="str">
        <f>IFERROR(IF(Tbl_B4_HelperColumns_01[[#This Row],[3 Months After Start Date]]="","",IF(AND(_xlfn.ISFORMULA(Tbl_B4_HelperColumns_01[[#This Row],[3 Months After Start Date]]),EXACT(Tbl_B4_HelperColumns_01[[#This Row],[3 Months After Start Date]],Tbl_B4_HelperColumns_01[[#This Row],[3 Months After Start Date ANS]])),Rng_Lkp_AnswerStatus_Good,Rng_Lkp_AnswerStatus_Bad)),Rng_Lkp_AnswerStatus_Bad)</f>
        <v/>
      </c>
      <c r="P8" s="30">
        <f>DATE(Tbl_B4_HelperColumns_01[[#This Row],[Start Year ANS]],Tbl_B4_HelperColumns_01[[#This Row],[Start Month ANS]]+3,Tbl_B4_HelperColumns_01[[#This Row],[Start Day ANS]])</f>
        <v>43556</v>
      </c>
    </row>
    <row r="9" spans="1:16" x14ac:dyDescent="0.25">
      <c r="B9" s="11">
        <v>1030</v>
      </c>
      <c r="C9" s="12" t="s">
        <v>4</v>
      </c>
      <c r="D9" s="12">
        <v>41239</v>
      </c>
      <c r="E9" s="36"/>
      <c r="F9" s="23" t="str">
        <f>IFERROR(IF(Tbl_B4_HelperColumns_01[[#This Row],[Start Year]]="","",IF(AND(_xlfn.ISFORMULA(Tbl_B4_HelperColumns_01[[#This Row],[Start Year]]),EXACT(Tbl_B4_HelperColumns_01[[#This Row],[Start Year]],Tbl_B4_HelperColumns_01[[#This Row],[Start Year ANS]])),Rng_Lkp_AnswerStatus_Good,Rng_Lkp_AnswerStatus_Bad)),Rng_Lkp_AnswerStatus_Bad)</f>
        <v/>
      </c>
      <c r="G9" s="37">
        <f>YEAR(Tbl_B4_HelperColumns_01[[#This Row],[Member Start Date]])</f>
        <v>2012</v>
      </c>
      <c r="H9" s="36"/>
      <c r="I9" s="23" t="str">
        <f>IFERROR(IF(Tbl_B4_HelperColumns_01[[#This Row],[Start Month]]="","",IF(AND(_xlfn.ISFORMULA(Tbl_B4_HelperColumns_01[[#This Row],[Start Month]]),EXACT(Tbl_B4_HelperColumns_01[[#This Row],[Start Month]],Tbl_B4_HelperColumns_01[[#This Row],[Start Month ANS]])),Rng_Lkp_AnswerStatus_Good,Rng_Lkp_AnswerStatus_Bad)),Rng_Lkp_AnswerStatus_Bad)</f>
        <v/>
      </c>
      <c r="J9" s="37">
        <f>MONTH(Tbl_B4_HelperColumns_01[[#This Row],[Member Start Date]])</f>
        <v>11</v>
      </c>
      <c r="K9" s="36"/>
      <c r="L9" s="23" t="str">
        <f>IFERROR(IF(Tbl_B4_HelperColumns_01[[#This Row],[Start Day]]="","",IF(AND(_xlfn.ISFORMULA(Tbl_B4_HelperColumns_01[[#This Row],[Start Day]]),EXACT(Tbl_B4_HelperColumns_01[[#This Row],[Start Day]],Tbl_B4_HelperColumns_01[[#This Row],[Start Day ANS]])),Rng_Lkp_AnswerStatus_Good,Rng_Lkp_AnswerStatus_Bad)),Rng_Lkp_AnswerStatus_Bad)</f>
        <v/>
      </c>
      <c r="M9" s="37">
        <f>DAY(Tbl_B4_HelperColumns_01[[#This Row],[Member Start Date]])</f>
        <v>26</v>
      </c>
      <c r="N9" s="29"/>
      <c r="O9" s="23" t="str">
        <f>IFERROR(IF(Tbl_B4_HelperColumns_01[[#This Row],[3 Months After Start Date]]="","",IF(AND(_xlfn.ISFORMULA(Tbl_B4_HelperColumns_01[[#This Row],[3 Months After Start Date]]),EXACT(Tbl_B4_HelperColumns_01[[#This Row],[3 Months After Start Date]],Tbl_B4_HelperColumns_01[[#This Row],[3 Months After Start Date ANS]])),Rng_Lkp_AnswerStatus_Good,Rng_Lkp_AnswerStatus_Bad)),Rng_Lkp_AnswerStatus_Bad)</f>
        <v/>
      </c>
      <c r="P9" s="30">
        <f>DATE(Tbl_B4_HelperColumns_01[[#This Row],[Start Year ANS]],Tbl_B4_HelperColumns_01[[#This Row],[Start Month ANS]]+3,Tbl_B4_HelperColumns_01[[#This Row],[Start Day ANS]])</f>
        <v>41331</v>
      </c>
    </row>
    <row r="10" spans="1:16" x14ac:dyDescent="0.25">
      <c r="B10" s="11">
        <v>1603</v>
      </c>
      <c r="C10" s="12" t="s">
        <v>107</v>
      </c>
      <c r="D10" s="12">
        <v>41269</v>
      </c>
      <c r="E10" s="36"/>
      <c r="F10" s="23" t="str">
        <f>IFERROR(IF(Tbl_B4_HelperColumns_01[[#This Row],[Start Year]]="","",IF(AND(_xlfn.ISFORMULA(Tbl_B4_HelperColumns_01[[#This Row],[Start Year]]),EXACT(Tbl_B4_HelperColumns_01[[#This Row],[Start Year]],Tbl_B4_HelperColumns_01[[#This Row],[Start Year ANS]])),Rng_Lkp_AnswerStatus_Good,Rng_Lkp_AnswerStatus_Bad)),Rng_Lkp_AnswerStatus_Bad)</f>
        <v/>
      </c>
      <c r="G10" s="37">
        <f>YEAR(Tbl_B4_HelperColumns_01[[#This Row],[Member Start Date]])</f>
        <v>2012</v>
      </c>
      <c r="H10" s="36"/>
      <c r="I10" s="23" t="str">
        <f>IFERROR(IF(Tbl_B4_HelperColumns_01[[#This Row],[Start Month]]="","",IF(AND(_xlfn.ISFORMULA(Tbl_B4_HelperColumns_01[[#This Row],[Start Month]]),EXACT(Tbl_B4_HelperColumns_01[[#This Row],[Start Month]],Tbl_B4_HelperColumns_01[[#This Row],[Start Month ANS]])),Rng_Lkp_AnswerStatus_Good,Rng_Lkp_AnswerStatus_Bad)),Rng_Lkp_AnswerStatus_Bad)</f>
        <v/>
      </c>
      <c r="J10" s="37">
        <f>MONTH(Tbl_B4_HelperColumns_01[[#This Row],[Member Start Date]])</f>
        <v>12</v>
      </c>
      <c r="K10" s="36"/>
      <c r="L10" s="23" t="str">
        <f>IFERROR(IF(Tbl_B4_HelperColumns_01[[#This Row],[Start Day]]="","",IF(AND(_xlfn.ISFORMULA(Tbl_B4_HelperColumns_01[[#This Row],[Start Day]]),EXACT(Tbl_B4_HelperColumns_01[[#This Row],[Start Day]],Tbl_B4_HelperColumns_01[[#This Row],[Start Day ANS]])),Rng_Lkp_AnswerStatus_Good,Rng_Lkp_AnswerStatus_Bad)),Rng_Lkp_AnswerStatus_Bad)</f>
        <v/>
      </c>
      <c r="M10" s="37">
        <f>DAY(Tbl_B4_HelperColumns_01[[#This Row],[Member Start Date]])</f>
        <v>26</v>
      </c>
      <c r="N10" s="29"/>
      <c r="O10" s="23" t="str">
        <f>IFERROR(IF(Tbl_B4_HelperColumns_01[[#This Row],[3 Months After Start Date]]="","",IF(AND(_xlfn.ISFORMULA(Tbl_B4_HelperColumns_01[[#This Row],[3 Months After Start Date]]),EXACT(Tbl_B4_HelperColumns_01[[#This Row],[3 Months After Start Date]],Tbl_B4_HelperColumns_01[[#This Row],[3 Months After Start Date ANS]])),Rng_Lkp_AnswerStatus_Good,Rng_Lkp_AnswerStatus_Bad)),Rng_Lkp_AnswerStatus_Bad)</f>
        <v/>
      </c>
      <c r="P10" s="30">
        <f>DATE(Tbl_B4_HelperColumns_01[[#This Row],[Start Year ANS]],Tbl_B4_HelperColumns_01[[#This Row],[Start Month ANS]]+3,Tbl_B4_HelperColumns_01[[#This Row],[Start Day ANS]])</f>
        <v>41359</v>
      </c>
    </row>
    <row r="11" spans="1:16" x14ac:dyDescent="0.25">
      <c r="B11" s="11">
        <v>4298</v>
      </c>
      <c r="C11" s="12" t="s">
        <v>5</v>
      </c>
      <c r="D11" s="12">
        <v>42895</v>
      </c>
      <c r="E11" s="36"/>
      <c r="F11" s="23" t="str">
        <f>IFERROR(IF(Tbl_B4_HelperColumns_01[[#This Row],[Start Year]]="","",IF(AND(_xlfn.ISFORMULA(Tbl_B4_HelperColumns_01[[#This Row],[Start Year]]),EXACT(Tbl_B4_HelperColumns_01[[#This Row],[Start Year]],Tbl_B4_HelperColumns_01[[#This Row],[Start Year ANS]])),Rng_Lkp_AnswerStatus_Good,Rng_Lkp_AnswerStatus_Bad)),Rng_Lkp_AnswerStatus_Bad)</f>
        <v/>
      </c>
      <c r="G11" s="37">
        <f>YEAR(Tbl_B4_HelperColumns_01[[#This Row],[Member Start Date]])</f>
        <v>2017</v>
      </c>
      <c r="H11" s="36"/>
      <c r="I11" s="23" t="str">
        <f>IFERROR(IF(Tbl_B4_HelperColumns_01[[#This Row],[Start Month]]="","",IF(AND(_xlfn.ISFORMULA(Tbl_B4_HelperColumns_01[[#This Row],[Start Month]]),EXACT(Tbl_B4_HelperColumns_01[[#This Row],[Start Month]],Tbl_B4_HelperColumns_01[[#This Row],[Start Month ANS]])),Rng_Lkp_AnswerStatus_Good,Rng_Lkp_AnswerStatus_Bad)),Rng_Lkp_AnswerStatus_Bad)</f>
        <v/>
      </c>
      <c r="J11" s="37">
        <f>MONTH(Tbl_B4_HelperColumns_01[[#This Row],[Member Start Date]])</f>
        <v>6</v>
      </c>
      <c r="K11" s="36"/>
      <c r="L11" s="23" t="str">
        <f>IFERROR(IF(Tbl_B4_HelperColumns_01[[#This Row],[Start Day]]="","",IF(AND(_xlfn.ISFORMULA(Tbl_B4_HelperColumns_01[[#This Row],[Start Day]]),EXACT(Tbl_B4_HelperColumns_01[[#This Row],[Start Day]],Tbl_B4_HelperColumns_01[[#This Row],[Start Day ANS]])),Rng_Lkp_AnswerStatus_Good,Rng_Lkp_AnswerStatus_Bad)),Rng_Lkp_AnswerStatus_Bad)</f>
        <v/>
      </c>
      <c r="M11" s="37">
        <f>DAY(Tbl_B4_HelperColumns_01[[#This Row],[Member Start Date]])</f>
        <v>9</v>
      </c>
      <c r="N11" s="29"/>
      <c r="O11" s="23" t="str">
        <f>IFERROR(IF(Tbl_B4_HelperColumns_01[[#This Row],[3 Months After Start Date]]="","",IF(AND(_xlfn.ISFORMULA(Tbl_B4_HelperColumns_01[[#This Row],[3 Months After Start Date]]),EXACT(Tbl_B4_HelperColumns_01[[#This Row],[3 Months After Start Date]],Tbl_B4_HelperColumns_01[[#This Row],[3 Months After Start Date ANS]])),Rng_Lkp_AnswerStatus_Good,Rng_Lkp_AnswerStatus_Bad)),Rng_Lkp_AnswerStatus_Bad)</f>
        <v/>
      </c>
      <c r="P11" s="30">
        <f>DATE(Tbl_B4_HelperColumns_01[[#This Row],[Start Year ANS]],Tbl_B4_HelperColumns_01[[#This Row],[Start Month ANS]]+3,Tbl_B4_HelperColumns_01[[#This Row],[Start Day ANS]])</f>
        <v>42987</v>
      </c>
    </row>
    <row r="12" spans="1:16" x14ac:dyDescent="0.25">
      <c r="B12" s="11">
        <v>2352</v>
      </c>
      <c r="C12" s="12" t="s">
        <v>104</v>
      </c>
      <c r="D12" s="12">
        <v>43466</v>
      </c>
      <c r="E12" s="36"/>
      <c r="F12" s="23" t="str">
        <f>IFERROR(IF(Tbl_B4_HelperColumns_01[[#This Row],[Start Year]]="","",IF(AND(_xlfn.ISFORMULA(Tbl_B4_HelperColumns_01[[#This Row],[Start Year]]),EXACT(Tbl_B4_HelperColumns_01[[#This Row],[Start Year]],Tbl_B4_HelperColumns_01[[#This Row],[Start Year ANS]])),Rng_Lkp_AnswerStatus_Good,Rng_Lkp_AnswerStatus_Bad)),Rng_Lkp_AnswerStatus_Bad)</f>
        <v/>
      </c>
      <c r="G12" s="37">
        <f>YEAR(Tbl_B4_HelperColumns_01[[#This Row],[Member Start Date]])</f>
        <v>2019</v>
      </c>
      <c r="H12" s="36"/>
      <c r="I12" s="23" t="str">
        <f>IFERROR(IF(Tbl_B4_HelperColumns_01[[#This Row],[Start Month]]="","",IF(AND(_xlfn.ISFORMULA(Tbl_B4_HelperColumns_01[[#This Row],[Start Month]]),EXACT(Tbl_B4_HelperColumns_01[[#This Row],[Start Month]],Tbl_B4_HelperColumns_01[[#This Row],[Start Month ANS]])),Rng_Lkp_AnswerStatus_Good,Rng_Lkp_AnswerStatus_Bad)),Rng_Lkp_AnswerStatus_Bad)</f>
        <v/>
      </c>
      <c r="J12" s="37">
        <f>MONTH(Tbl_B4_HelperColumns_01[[#This Row],[Member Start Date]])</f>
        <v>1</v>
      </c>
      <c r="K12" s="36"/>
      <c r="L12" s="23" t="str">
        <f>IFERROR(IF(Tbl_B4_HelperColumns_01[[#This Row],[Start Day]]="","",IF(AND(_xlfn.ISFORMULA(Tbl_B4_HelperColumns_01[[#This Row],[Start Day]]),EXACT(Tbl_B4_HelperColumns_01[[#This Row],[Start Day]],Tbl_B4_HelperColumns_01[[#This Row],[Start Day ANS]])),Rng_Lkp_AnswerStatus_Good,Rng_Lkp_AnswerStatus_Bad)),Rng_Lkp_AnswerStatus_Bad)</f>
        <v/>
      </c>
      <c r="M12" s="37">
        <f>DAY(Tbl_B4_HelperColumns_01[[#This Row],[Member Start Date]])</f>
        <v>1</v>
      </c>
      <c r="N12" s="29"/>
      <c r="O12" s="23" t="str">
        <f>IFERROR(IF(Tbl_B4_HelperColumns_01[[#This Row],[3 Months After Start Date]]="","",IF(AND(_xlfn.ISFORMULA(Tbl_B4_HelperColumns_01[[#This Row],[3 Months After Start Date]]),EXACT(Tbl_B4_HelperColumns_01[[#This Row],[3 Months After Start Date]],Tbl_B4_HelperColumns_01[[#This Row],[3 Months After Start Date ANS]])),Rng_Lkp_AnswerStatus_Good,Rng_Lkp_AnswerStatus_Bad)),Rng_Lkp_AnswerStatus_Bad)</f>
        <v/>
      </c>
      <c r="P12" s="30">
        <f>DATE(Tbl_B4_HelperColumns_01[[#This Row],[Start Year ANS]],Tbl_B4_HelperColumns_01[[#This Row],[Start Month ANS]]+3,Tbl_B4_HelperColumns_01[[#This Row],[Start Day ANS]])</f>
        <v>43556</v>
      </c>
    </row>
    <row r="13" spans="1:16" x14ac:dyDescent="0.25">
      <c r="B13" s="11">
        <v>1049</v>
      </c>
      <c r="C13" s="12" t="s">
        <v>105</v>
      </c>
      <c r="D13" s="12">
        <v>40855</v>
      </c>
      <c r="E13" s="36"/>
      <c r="F13" s="23" t="str">
        <f>IFERROR(IF(Tbl_B4_HelperColumns_01[[#This Row],[Start Year]]="","",IF(AND(_xlfn.ISFORMULA(Tbl_B4_HelperColumns_01[[#This Row],[Start Year]]),EXACT(Tbl_B4_HelperColumns_01[[#This Row],[Start Year]],Tbl_B4_HelperColumns_01[[#This Row],[Start Year ANS]])),Rng_Lkp_AnswerStatus_Good,Rng_Lkp_AnswerStatus_Bad)),Rng_Lkp_AnswerStatus_Bad)</f>
        <v/>
      </c>
      <c r="G13" s="37">
        <f>YEAR(Tbl_B4_HelperColumns_01[[#This Row],[Member Start Date]])</f>
        <v>2011</v>
      </c>
      <c r="H13" s="36"/>
      <c r="I13" s="23" t="str">
        <f>IFERROR(IF(Tbl_B4_HelperColumns_01[[#This Row],[Start Month]]="","",IF(AND(_xlfn.ISFORMULA(Tbl_B4_HelperColumns_01[[#This Row],[Start Month]]),EXACT(Tbl_B4_HelperColumns_01[[#This Row],[Start Month]],Tbl_B4_HelperColumns_01[[#This Row],[Start Month ANS]])),Rng_Lkp_AnswerStatus_Good,Rng_Lkp_AnswerStatus_Bad)),Rng_Lkp_AnswerStatus_Bad)</f>
        <v/>
      </c>
      <c r="J13" s="37">
        <f>MONTH(Tbl_B4_HelperColumns_01[[#This Row],[Member Start Date]])</f>
        <v>11</v>
      </c>
      <c r="K13" s="36"/>
      <c r="L13" s="23" t="str">
        <f>IFERROR(IF(Tbl_B4_HelperColumns_01[[#This Row],[Start Day]]="","",IF(AND(_xlfn.ISFORMULA(Tbl_B4_HelperColumns_01[[#This Row],[Start Day]]),EXACT(Tbl_B4_HelperColumns_01[[#This Row],[Start Day]],Tbl_B4_HelperColumns_01[[#This Row],[Start Day ANS]])),Rng_Lkp_AnswerStatus_Good,Rng_Lkp_AnswerStatus_Bad)),Rng_Lkp_AnswerStatus_Bad)</f>
        <v/>
      </c>
      <c r="M13" s="37">
        <f>DAY(Tbl_B4_HelperColumns_01[[#This Row],[Member Start Date]])</f>
        <v>8</v>
      </c>
      <c r="N13" s="29"/>
      <c r="O13" s="23" t="str">
        <f>IFERROR(IF(Tbl_B4_HelperColumns_01[[#This Row],[3 Months After Start Date]]="","",IF(AND(_xlfn.ISFORMULA(Tbl_B4_HelperColumns_01[[#This Row],[3 Months After Start Date]]),EXACT(Tbl_B4_HelperColumns_01[[#This Row],[3 Months After Start Date]],Tbl_B4_HelperColumns_01[[#This Row],[3 Months After Start Date ANS]])),Rng_Lkp_AnswerStatus_Good,Rng_Lkp_AnswerStatus_Bad)),Rng_Lkp_AnswerStatus_Bad)</f>
        <v/>
      </c>
      <c r="P13" s="30">
        <f>DATE(Tbl_B4_HelperColumns_01[[#This Row],[Start Year ANS]],Tbl_B4_HelperColumns_01[[#This Row],[Start Month ANS]]+3,Tbl_B4_HelperColumns_01[[#This Row],[Start Day ANS]])</f>
        <v>40947</v>
      </c>
    </row>
    <row r="14" spans="1:16" x14ac:dyDescent="0.25">
      <c r="B14" s="11">
        <v>2278</v>
      </c>
      <c r="C14" s="12" t="s">
        <v>106</v>
      </c>
      <c r="D14" s="12">
        <v>42166</v>
      </c>
      <c r="E14" s="36"/>
      <c r="F14" s="23" t="str">
        <f>IFERROR(IF(Tbl_B4_HelperColumns_01[[#This Row],[Start Year]]="","",IF(AND(_xlfn.ISFORMULA(Tbl_B4_HelperColumns_01[[#This Row],[Start Year]]),EXACT(Tbl_B4_HelperColumns_01[[#This Row],[Start Year]],Tbl_B4_HelperColumns_01[[#This Row],[Start Year ANS]])),Rng_Lkp_AnswerStatus_Good,Rng_Lkp_AnswerStatus_Bad)),Rng_Lkp_AnswerStatus_Bad)</f>
        <v/>
      </c>
      <c r="G14" s="37">
        <f>YEAR(Tbl_B4_HelperColumns_01[[#This Row],[Member Start Date]])</f>
        <v>2015</v>
      </c>
      <c r="H14" s="36"/>
      <c r="I14" s="23" t="str">
        <f>IFERROR(IF(Tbl_B4_HelperColumns_01[[#This Row],[Start Month]]="","",IF(AND(_xlfn.ISFORMULA(Tbl_B4_HelperColumns_01[[#This Row],[Start Month]]),EXACT(Tbl_B4_HelperColumns_01[[#This Row],[Start Month]],Tbl_B4_HelperColumns_01[[#This Row],[Start Month ANS]])),Rng_Lkp_AnswerStatus_Good,Rng_Lkp_AnswerStatus_Bad)),Rng_Lkp_AnswerStatus_Bad)</f>
        <v/>
      </c>
      <c r="J14" s="37">
        <f>MONTH(Tbl_B4_HelperColumns_01[[#This Row],[Member Start Date]])</f>
        <v>6</v>
      </c>
      <c r="K14" s="36"/>
      <c r="L14" s="23" t="str">
        <f>IFERROR(IF(Tbl_B4_HelperColumns_01[[#This Row],[Start Day]]="","",IF(AND(_xlfn.ISFORMULA(Tbl_B4_HelperColumns_01[[#This Row],[Start Day]]),EXACT(Tbl_B4_HelperColumns_01[[#This Row],[Start Day]],Tbl_B4_HelperColumns_01[[#This Row],[Start Day ANS]])),Rng_Lkp_AnswerStatus_Good,Rng_Lkp_AnswerStatus_Bad)),Rng_Lkp_AnswerStatus_Bad)</f>
        <v/>
      </c>
      <c r="M14" s="37">
        <f>DAY(Tbl_B4_HelperColumns_01[[#This Row],[Member Start Date]])</f>
        <v>11</v>
      </c>
      <c r="N14" s="29"/>
      <c r="O14" s="23" t="str">
        <f>IFERROR(IF(Tbl_B4_HelperColumns_01[[#This Row],[3 Months After Start Date]]="","",IF(AND(_xlfn.ISFORMULA(Tbl_B4_HelperColumns_01[[#This Row],[3 Months After Start Date]]),EXACT(Tbl_B4_HelperColumns_01[[#This Row],[3 Months After Start Date]],Tbl_B4_HelperColumns_01[[#This Row],[3 Months After Start Date ANS]])),Rng_Lkp_AnswerStatus_Good,Rng_Lkp_AnswerStatus_Bad)),Rng_Lkp_AnswerStatus_Bad)</f>
        <v/>
      </c>
      <c r="P14" s="30">
        <f>DATE(Tbl_B4_HelperColumns_01[[#This Row],[Start Year ANS]],Tbl_B4_HelperColumns_01[[#This Row],[Start Month ANS]]+3,Tbl_B4_HelperColumns_01[[#This Row],[Start Day ANS]])</f>
        <v>42258</v>
      </c>
    </row>
    <row r="15" spans="1:16" x14ac:dyDescent="0.25">
      <c r="B15" s="11">
        <v>4071</v>
      </c>
      <c r="C15" s="12" t="s">
        <v>6</v>
      </c>
      <c r="D15" s="12">
        <v>43466</v>
      </c>
      <c r="E15" s="36"/>
      <c r="F15" s="23" t="str">
        <f>IFERROR(IF(Tbl_B4_HelperColumns_01[[#This Row],[Start Year]]="","",IF(AND(_xlfn.ISFORMULA(Tbl_B4_HelperColumns_01[[#This Row],[Start Year]]),EXACT(Tbl_B4_HelperColumns_01[[#This Row],[Start Year]],Tbl_B4_HelperColumns_01[[#This Row],[Start Year ANS]])),Rng_Lkp_AnswerStatus_Good,Rng_Lkp_AnswerStatus_Bad)),Rng_Lkp_AnswerStatus_Bad)</f>
        <v/>
      </c>
      <c r="G15" s="37">
        <f>YEAR(Tbl_B4_HelperColumns_01[[#This Row],[Member Start Date]])</f>
        <v>2019</v>
      </c>
      <c r="H15" s="36"/>
      <c r="I15" s="23" t="str">
        <f>IFERROR(IF(Tbl_B4_HelperColumns_01[[#This Row],[Start Month]]="","",IF(AND(_xlfn.ISFORMULA(Tbl_B4_HelperColumns_01[[#This Row],[Start Month]]),EXACT(Tbl_B4_HelperColumns_01[[#This Row],[Start Month]],Tbl_B4_HelperColumns_01[[#This Row],[Start Month ANS]])),Rng_Lkp_AnswerStatus_Good,Rng_Lkp_AnswerStatus_Bad)),Rng_Lkp_AnswerStatus_Bad)</f>
        <v/>
      </c>
      <c r="J15" s="37">
        <f>MONTH(Tbl_B4_HelperColumns_01[[#This Row],[Member Start Date]])</f>
        <v>1</v>
      </c>
      <c r="K15" s="36"/>
      <c r="L15" s="23" t="str">
        <f>IFERROR(IF(Tbl_B4_HelperColumns_01[[#This Row],[Start Day]]="","",IF(AND(_xlfn.ISFORMULA(Tbl_B4_HelperColumns_01[[#This Row],[Start Day]]),EXACT(Tbl_B4_HelperColumns_01[[#This Row],[Start Day]],Tbl_B4_HelperColumns_01[[#This Row],[Start Day ANS]])),Rng_Lkp_AnswerStatus_Good,Rng_Lkp_AnswerStatus_Bad)),Rng_Lkp_AnswerStatus_Bad)</f>
        <v/>
      </c>
      <c r="M15" s="37">
        <f>DAY(Tbl_B4_HelperColumns_01[[#This Row],[Member Start Date]])</f>
        <v>1</v>
      </c>
      <c r="N15" s="29"/>
      <c r="O15" s="23" t="str">
        <f>IFERROR(IF(Tbl_B4_HelperColumns_01[[#This Row],[3 Months After Start Date]]="","",IF(AND(_xlfn.ISFORMULA(Tbl_B4_HelperColumns_01[[#This Row],[3 Months After Start Date]]),EXACT(Tbl_B4_HelperColumns_01[[#This Row],[3 Months After Start Date]],Tbl_B4_HelperColumns_01[[#This Row],[3 Months After Start Date ANS]])),Rng_Lkp_AnswerStatus_Good,Rng_Lkp_AnswerStatus_Bad)),Rng_Lkp_AnswerStatus_Bad)</f>
        <v/>
      </c>
      <c r="P15" s="30">
        <f>DATE(Tbl_B4_HelperColumns_01[[#This Row],[Start Year ANS]],Tbl_B4_HelperColumns_01[[#This Row],[Start Month ANS]]+3,Tbl_B4_HelperColumns_01[[#This Row],[Start Day ANS]])</f>
        <v>43556</v>
      </c>
    </row>
    <row r="16" spans="1:16" x14ac:dyDescent="0.25">
      <c r="B16" s="11">
        <v>1066</v>
      </c>
      <c r="C16" s="12" t="s">
        <v>7</v>
      </c>
      <c r="D16" s="12">
        <v>41568</v>
      </c>
      <c r="E16" s="36"/>
      <c r="F16" s="23" t="str">
        <f>IFERROR(IF(Tbl_B4_HelperColumns_01[[#This Row],[Start Year]]="","",IF(AND(_xlfn.ISFORMULA(Tbl_B4_HelperColumns_01[[#This Row],[Start Year]]),EXACT(Tbl_B4_HelperColumns_01[[#This Row],[Start Year]],Tbl_B4_HelperColumns_01[[#This Row],[Start Year ANS]])),Rng_Lkp_AnswerStatus_Good,Rng_Lkp_AnswerStatus_Bad)),Rng_Lkp_AnswerStatus_Bad)</f>
        <v/>
      </c>
      <c r="G16" s="37">
        <f>YEAR(Tbl_B4_HelperColumns_01[[#This Row],[Member Start Date]])</f>
        <v>2013</v>
      </c>
      <c r="H16" s="36"/>
      <c r="I16" s="23" t="str">
        <f>IFERROR(IF(Tbl_B4_HelperColumns_01[[#This Row],[Start Month]]="","",IF(AND(_xlfn.ISFORMULA(Tbl_B4_HelperColumns_01[[#This Row],[Start Month]]),EXACT(Tbl_B4_HelperColumns_01[[#This Row],[Start Month]],Tbl_B4_HelperColumns_01[[#This Row],[Start Month ANS]])),Rng_Lkp_AnswerStatus_Good,Rng_Lkp_AnswerStatus_Bad)),Rng_Lkp_AnswerStatus_Bad)</f>
        <v/>
      </c>
      <c r="J16" s="37">
        <f>MONTH(Tbl_B4_HelperColumns_01[[#This Row],[Member Start Date]])</f>
        <v>10</v>
      </c>
      <c r="K16" s="36"/>
      <c r="L16" s="23" t="str">
        <f>IFERROR(IF(Tbl_B4_HelperColumns_01[[#This Row],[Start Day]]="","",IF(AND(_xlfn.ISFORMULA(Tbl_B4_HelperColumns_01[[#This Row],[Start Day]]),EXACT(Tbl_B4_HelperColumns_01[[#This Row],[Start Day]],Tbl_B4_HelperColumns_01[[#This Row],[Start Day ANS]])),Rng_Lkp_AnswerStatus_Good,Rng_Lkp_AnswerStatus_Bad)),Rng_Lkp_AnswerStatus_Bad)</f>
        <v/>
      </c>
      <c r="M16" s="37">
        <f>DAY(Tbl_B4_HelperColumns_01[[#This Row],[Member Start Date]])</f>
        <v>21</v>
      </c>
      <c r="N16" s="29"/>
      <c r="O16" s="23" t="str">
        <f>IFERROR(IF(Tbl_B4_HelperColumns_01[[#This Row],[3 Months After Start Date]]="","",IF(AND(_xlfn.ISFORMULA(Tbl_B4_HelperColumns_01[[#This Row],[3 Months After Start Date]]),EXACT(Tbl_B4_HelperColumns_01[[#This Row],[3 Months After Start Date]],Tbl_B4_HelperColumns_01[[#This Row],[3 Months After Start Date ANS]])),Rng_Lkp_AnswerStatus_Good,Rng_Lkp_AnswerStatus_Bad)),Rng_Lkp_AnswerStatus_Bad)</f>
        <v/>
      </c>
      <c r="P16" s="30">
        <f>DATE(Tbl_B4_HelperColumns_01[[#This Row],[Start Year ANS]],Tbl_B4_HelperColumns_01[[#This Row],[Start Month ANS]]+3,Tbl_B4_HelperColumns_01[[#This Row],[Start Day ANS]])</f>
        <v>41660</v>
      </c>
    </row>
    <row r="17" spans="2:16" x14ac:dyDescent="0.25">
      <c r="B17" s="11">
        <v>2316</v>
      </c>
      <c r="C17" s="12" t="s">
        <v>109</v>
      </c>
      <c r="D17" s="12">
        <v>42898</v>
      </c>
      <c r="E17" s="36"/>
      <c r="F17" s="23" t="str">
        <f>IFERROR(IF(Tbl_B4_HelperColumns_01[[#This Row],[Start Year]]="","",IF(AND(_xlfn.ISFORMULA(Tbl_B4_HelperColumns_01[[#This Row],[Start Year]]),EXACT(Tbl_B4_HelperColumns_01[[#This Row],[Start Year]],Tbl_B4_HelperColumns_01[[#This Row],[Start Year ANS]])),Rng_Lkp_AnswerStatus_Good,Rng_Lkp_AnswerStatus_Bad)),Rng_Lkp_AnswerStatus_Bad)</f>
        <v/>
      </c>
      <c r="G17" s="37">
        <f>YEAR(Tbl_B4_HelperColumns_01[[#This Row],[Member Start Date]])</f>
        <v>2017</v>
      </c>
      <c r="H17" s="36"/>
      <c r="I17" s="23" t="str">
        <f>IFERROR(IF(Tbl_B4_HelperColumns_01[[#This Row],[Start Month]]="","",IF(AND(_xlfn.ISFORMULA(Tbl_B4_HelperColumns_01[[#This Row],[Start Month]]),EXACT(Tbl_B4_HelperColumns_01[[#This Row],[Start Month]],Tbl_B4_HelperColumns_01[[#This Row],[Start Month ANS]])),Rng_Lkp_AnswerStatus_Good,Rng_Lkp_AnswerStatus_Bad)),Rng_Lkp_AnswerStatus_Bad)</f>
        <v/>
      </c>
      <c r="J17" s="37">
        <f>MONTH(Tbl_B4_HelperColumns_01[[#This Row],[Member Start Date]])</f>
        <v>6</v>
      </c>
      <c r="K17" s="36"/>
      <c r="L17" s="23" t="str">
        <f>IFERROR(IF(Tbl_B4_HelperColumns_01[[#This Row],[Start Day]]="","",IF(AND(_xlfn.ISFORMULA(Tbl_B4_HelperColumns_01[[#This Row],[Start Day]]),EXACT(Tbl_B4_HelperColumns_01[[#This Row],[Start Day]],Tbl_B4_HelperColumns_01[[#This Row],[Start Day ANS]])),Rng_Lkp_AnswerStatus_Good,Rng_Lkp_AnswerStatus_Bad)),Rng_Lkp_AnswerStatus_Bad)</f>
        <v/>
      </c>
      <c r="M17" s="37">
        <f>DAY(Tbl_B4_HelperColumns_01[[#This Row],[Member Start Date]])</f>
        <v>12</v>
      </c>
      <c r="N17" s="29"/>
      <c r="O17" s="23" t="str">
        <f>IFERROR(IF(Tbl_B4_HelperColumns_01[[#This Row],[3 Months After Start Date]]="","",IF(AND(_xlfn.ISFORMULA(Tbl_B4_HelperColumns_01[[#This Row],[3 Months After Start Date]]),EXACT(Tbl_B4_HelperColumns_01[[#This Row],[3 Months After Start Date]],Tbl_B4_HelperColumns_01[[#This Row],[3 Months After Start Date ANS]])),Rng_Lkp_AnswerStatus_Good,Rng_Lkp_AnswerStatus_Bad)),Rng_Lkp_AnswerStatus_Bad)</f>
        <v/>
      </c>
      <c r="P17" s="30">
        <f>DATE(Tbl_B4_HelperColumns_01[[#This Row],[Start Year ANS]],Tbl_B4_HelperColumns_01[[#This Row],[Start Month ANS]]+3,Tbl_B4_HelperColumns_01[[#This Row],[Start Day ANS]])</f>
        <v>42990</v>
      </c>
    </row>
  </sheetData>
  <conditionalFormatting sqref="B5:B6 F6 I6 L6 O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B8:P17">
    <cfRule type="cellIs" dxfId="5" priority="2" operator="equal">
      <formula>Rng_Lkp_AnswerStatus_Bad</formula>
    </cfRule>
    <cfRule type="cellIs" dxfId="4" priority="3" operator="equal">
      <formula>Rng_Lkp_AnswerStatus_Good</formula>
    </cfRule>
  </conditionalFormatting>
  <pageMargins left="0.7" right="0.7" top="0.75" bottom="0.75" header="0.3" footer="0.3"/>
  <pageSetup paperSize="121" orientation="portrait" horizontalDpi="300" verticalDpi="30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3E14A-1956-4835-849D-BD2C977A206F}">
  <sheetPr>
    <tabColor theme="5"/>
  </sheetPr>
  <dimension ref="A1:AA17"/>
  <sheetViews>
    <sheetView showGridLines="0" zoomScaleNormal="100" workbookViewId="0">
      <pane xSplit="5" ySplit="7" topLeftCell="F8" activePane="bottomRight" state="frozen"/>
      <selection pane="topRight" activeCell="G1" sqref="G1"/>
      <selection pane="bottomLeft" activeCell="A8" sqref="A8"/>
      <selection pane="bottomRight" activeCell="F8" sqref="F8"/>
    </sheetView>
  </sheetViews>
  <sheetFormatPr defaultColWidth="9.140625" defaultRowHeight="15" outlineLevelRow="1" outlineLevelCol="1" x14ac:dyDescent="0.25"/>
  <cols>
    <col min="1" max="1" width="2.5703125" style="10" customWidth="1"/>
    <col min="2" max="2" width="8.140625" style="10" bestFit="1" customWidth="1"/>
    <col min="3" max="3" width="13.85546875" style="10" bestFit="1" customWidth="1"/>
    <col min="4" max="4" width="5.5703125" style="10" bestFit="1" customWidth="1"/>
    <col min="5" max="5" width="9.28515625" style="10" customWidth="1"/>
    <col min="6" max="6" width="9.42578125" style="10" bestFit="1" customWidth="1"/>
    <col min="7" max="7" width="8.42578125" style="10" bestFit="1" customWidth="1"/>
    <col min="8" max="8" width="13" style="10" hidden="1" customWidth="1" outlineLevel="1"/>
    <col min="9" max="9" width="10" style="10" bestFit="1" customWidth="1" collapsed="1"/>
    <col min="10" max="10" width="8.140625" style="10" bestFit="1" customWidth="1"/>
    <col min="11" max="11" width="12.28515625" style="10" hidden="1" customWidth="1" outlineLevel="1"/>
    <col min="12" max="12" width="6.28515625" style="10" customWidth="1" collapsed="1"/>
    <col min="13" max="13" width="8.140625" style="10" bestFit="1" customWidth="1"/>
    <col min="14" max="14" width="9.7109375" style="10" hidden="1" customWidth="1" outlineLevel="1"/>
    <col min="15" max="15" width="9.5703125" style="10" bestFit="1" customWidth="1" collapsed="1"/>
    <col min="16" max="16" width="8.140625" style="10" bestFit="1" customWidth="1"/>
    <col min="17" max="17" width="10.28515625" style="10" hidden="1" customWidth="1" outlineLevel="1"/>
    <col min="18" max="18" width="17.28515625" style="10" bestFit="1" customWidth="1" collapsed="1"/>
    <col min="19" max="19" width="9.140625" style="10"/>
    <col min="20" max="20" width="18" style="10" hidden="1" customWidth="1" outlineLevel="1"/>
    <col min="21" max="21" width="18.140625" style="10" bestFit="1" customWidth="1" collapsed="1"/>
    <col min="22" max="22" width="9.140625" style="10"/>
    <col min="23" max="23" width="21" style="10" hidden="1" customWidth="1" outlineLevel="1"/>
    <col min="24" max="24" width="13.85546875" style="10" bestFit="1" customWidth="1" collapsed="1"/>
    <col min="25" max="25" width="9.140625" style="10"/>
    <col min="26" max="26" width="14.42578125" style="10" hidden="1" customWidth="1" outlineLevel="1"/>
    <col min="27" max="27" width="9.140625" style="10" collapsed="1"/>
    <col min="28" max="16384" width="9.140625" style="10"/>
  </cols>
  <sheetData>
    <row r="1" spans="1:26" s="8" customFormat="1" ht="21" x14ac:dyDescent="0.35">
      <c r="A1" s="87"/>
      <c r="B1" s="4"/>
      <c r="C1" s="4"/>
      <c r="F1" s="92" t="s">
        <v>98</v>
      </c>
    </row>
    <row r="2" spans="1:26" s="8" customFormat="1" ht="18.75" x14ac:dyDescent="0.3">
      <c r="A2" s="88"/>
      <c r="B2" s="9"/>
      <c r="C2" s="9"/>
      <c r="F2" s="93" t="s">
        <v>126</v>
      </c>
    </row>
    <row r="3" spans="1:26" ht="6.95" customHeight="1" x14ac:dyDescent="0.25"/>
    <row r="4" spans="1:26" x14ac:dyDescent="0.25">
      <c r="E4" s="13" t="s">
        <v>102</v>
      </c>
      <c r="F4" s="26">
        <v>1</v>
      </c>
      <c r="G4" s="81"/>
      <c r="H4" s="81"/>
      <c r="I4" s="26">
        <v>2</v>
      </c>
      <c r="J4" s="81"/>
      <c r="K4" s="81"/>
      <c r="L4" s="26">
        <v>3</v>
      </c>
      <c r="M4" s="81"/>
      <c r="N4" s="81"/>
      <c r="O4" s="26">
        <v>4</v>
      </c>
      <c r="P4" s="81"/>
      <c r="Q4" s="81"/>
      <c r="R4" s="26">
        <v>5</v>
      </c>
      <c r="S4" s="81"/>
      <c r="T4" s="81"/>
      <c r="U4" s="26">
        <v>6</v>
      </c>
      <c r="V4" s="81"/>
      <c r="W4" s="81"/>
      <c r="X4" s="26">
        <v>7</v>
      </c>
      <c r="Y4" s="81"/>
      <c r="Z4" s="81"/>
    </row>
    <row r="5" spans="1:26" hidden="1" outlineLevel="1" x14ac:dyDescent="0.25">
      <c r="B5" s="34" t="str">
        <f>IFERROR(IF(SUMIFS(F5:Z5,F4:Z4,"&gt;=0")=0,"",SUMIFS(F5:Z5,F4:Z4,"&gt;=0")/SUMIFS(F5:Z5,F6:Z6,"ANSWER")),"")</f>
        <v/>
      </c>
      <c r="C5" s="86" t="s">
        <v>28</v>
      </c>
      <c r="F5" s="32">
        <f>IFERROR(COUNTA(Tbl_B5_Help_01[Start Weekday ("DDD")]),"")</f>
        <v>0</v>
      </c>
      <c r="G5" s="33">
        <f>IFERROR(COUNTIF(Tbl_B5_Help_01[Answer Status Q01],Rng_Lkp_AnswerStatus_Good),"")</f>
        <v>0</v>
      </c>
      <c r="H5" s="33">
        <f>IFERROR(COUNTA(Tbl_B5_Help_01[Start Weekday ("DDD") ANS]),"")</f>
        <v>10</v>
      </c>
      <c r="I5" s="32">
        <f>IFERROR(COUNTA(Tbl_B5_Help_01[Start Month ("MMM")]),"")</f>
        <v>0</v>
      </c>
      <c r="J5" s="33">
        <f>IFERROR(COUNTIF(Tbl_B5_Help_01[Answer Status Q02],Rng_Lkp_AnswerStatus_Good),"")</f>
        <v>0</v>
      </c>
      <c r="K5" s="33">
        <f>IFERROR(COUNTA(Tbl_B5_Help_01[Start Month ("MMM") ANS]),"")</f>
        <v>10</v>
      </c>
      <c r="L5" s="32">
        <f>IFERROR(COUNTA(Tbl_B5_Help_01[Start Day ("D")]),"")</f>
        <v>0</v>
      </c>
      <c r="M5" s="33">
        <f>IFERROR(COUNTIF(Tbl_B5_Help_01[Answer Status Q03],Rng_Lkp_AnswerStatus_Good),"")</f>
        <v>0</v>
      </c>
      <c r="N5" s="33">
        <f>IFERROR(COUNTA(Tbl_B5_Help_01[Start Day ("D") ANS]),"")</f>
        <v>10</v>
      </c>
      <c r="O5" s="32">
        <f>IFERROR(COUNTA(Tbl_B5_Help_01[Start Year ("YYYY")]),"")</f>
        <v>0</v>
      </c>
      <c r="P5" s="33">
        <f>IFERROR(COUNTIF(Tbl_B5_Help_01[Answer Status Q04],Rng_Lkp_AnswerStatus_Good),"")</f>
        <v>0</v>
      </c>
      <c r="Q5" s="33">
        <f>IFERROR(COUNTA(Tbl_B5_Help_01[Start Year ("YYYY") ANS]),"")</f>
        <v>10</v>
      </c>
      <c r="R5" s="32">
        <f>IFERROR(COUNTA(Tbl_B5_Help_01[Full Start Date ("DDD, MMM D, YYYY")]),"")</f>
        <v>0</v>
      </c>
      <c r="S5" s="33">
        <f>IFERROR(COUNTIF(Tbl_B5_Help_01[Answer Status Q05],Rng_Lkp_AnswerStatus_Good),"")</f>
        <v>0</v>
      </c>
      <c r="T5" s="33">
        <f>IFERROR(COUNTA(Tbl_B5_Help_01[Full Start Date ("DDD, MMM D, YYYY") ANS]),"")</f>
        <v>10</v>
      </c>
      <c r="U5" s="32">
        <f>IFERROR(COUNTA(Tbl_B5_Help_01[Full Start Date ("DDD, MMM D, YYYY") using Q1-4]),"")</f>
        <v>0</v>
      </c>
      <c r="V5" s="33">
        <f>IFERROR(COUNTIF(Tbl_B5_Help_01[Answer Status Q06],Rng_Lkp_AnswerStatus_Good),"")</f>
        <v>0</v>
      </c>
      <c r="W5" s="33">
        <f>IFERROR(COUNTA(Tbl_B5_Help_01[Full Start Date ("DDD, MMM D, YYYY") using Q1-4 ANS]),"")</f>
        <v>10</v>
      </c>
      <c r="X5" s="32">
        <f>IFERROR(COUNTA(Tbl_B5_Help_01[9 Months After Member Start Date]),"")</f>
        <v>0</v>
      </c>
      <c r="Y5" s="33">
        <f>IFERROR(COUNTIF(Tbl_B5_Help_01[Answer Status Q07],Rng_Lkp_AnswerStatus_Good),"")</f>
        <v>0</v>
      </c>
      <c r="Z5" s="33">
        <f>IFERROR(COUNTA(Tbl_B5_Help_01[9 Months After Member Start Date ANS]),"")</f>
        <v>10</v>
      </c>
    </row>
    <row r="6" spans="1:26" collapsed="1" x14ac:dyDescent="0.25">
      <c r="B6" s="34" t="str">
        <f>IFERROR(IF(SUMIFS(F5:Z5,F4:Z4,"&gt;=0")=0,"",SUMIFS(F5:Z5,F6:Z6,"&gt;=0", F6:Z6,"&lt;=1")/SUMIFS(F5:Z5,F4:Z4,"&gt;0")),"")</f>
        <v/>
      </c>
      <c r="C6" s="86" t="s">
        <v>29</v>
      </c>
      <c r="F6" s="26" t="s">
        <v>111</v>
      </c>
      <c r="G6" s="24" t="str">
        <f>IFERROR(G5/F5,"")</f>
        <v/>
      </c>
      <c r="H6" s="27" t="s">
        <v>11</v>
      </c>
      <c r="I6" s="26" t="s">
        <v>111</v>
      </c>
      <c r="J6" s="24" t="str">
        <f>IFERROR(J5/I5,"")</f>
        <v/>
      </c>
      <c r="K6" s="27" t="s">
        <v>11</v>
      </c>
      <c r="L6" s="26" t="s">
        <v>111</v>
      </c>
      <c r="M6" s="24" t="str">
        <f>IFERROR(M5/L5,"")</f>
        <v/>
      </c>
      <c r="N6" s="27" t="s">
        <v>11</v>
      </c>
      <c r="O6" s="26" t="s">
        <v>111</v>
      </c>
      <c r="P6" s="24" t="str">
        <f>IFERROR(P5/O5,"")</f>
        <v/>
      </c>
      <c r="Q6" s="27" t="s">
        <v>11</v>
      </c>
      <c r="R6" s="26" t="s">
        <v>111</v>
      </c>
      <c r="S6" s="24" t="str">
        <f>IFERROR(S5/R5,"")</f>
        <v/>
      </c>
      <c r="T6" s="27" t="s">
        <v>11</v>
      </c>
      <c r="U6" s="26" t="s">
        <v>120</v>
      </c>
      <c r="V6" s="24" t="str">
        <f>IFERROR(V5/U5,"")</f>
        <v/>
      </c>
      <c r="W6" s="27" t="s">
        <v>11</v>
      </c>
      <c r="X6" s="26" t="s">
        <v>135</v>
      </c>
      <c r="Y6" s="24" t="str">
        <f>IFERROR(Y5/X5,"")</f>
        <v/>
      </c>
      <c r="Z6" s="27" t="s">
        <v>11</v>
      </c>
    </row>
    <row r="7" spans="1:26" ht="45" x14ac:dyDescent="0.25">
      <c r="B7" s="17" t="s">
        <v>2</v>
      </c>
      <c r="C7" s="17" t="s">
        <v>3</v>
      </c>
      <c r="D7" s="17" t="s">
        <v>33</v>
      </c>
      <c r="E7" s="41" t="s">
        <v>103</v>
      </c>
      <c r="F7" s="25" t="s">
        <v>112</v>
      </c>
      <c r="G7" s="22" t="s">
        <v>18</v>
      </c>
      <c r="H7" s="28" t="s">
        <v>113</v>
      </c>
      <c r="I7" s="25" t="s">
        <v>114</v>
      </c>
      <c r="J7" s="22" t="s">
        <v>19</v>
      </c>
      <c r="K7" s="28" t="s">
        <v>115</v>
      </c>
      <c r="L7" s="25" t="s">
        <v>116</v>
      </c>
      <c r="M7" s="22" t="s">
        <v>20</v>
      </c>
      <c r="N7" s="28" t="s">
        <v>117</v>
      </c>
      <c r="O7" s="25" t="s">
        <v>118</v>
      </c>
      <c r="P7" s="22" t="s">
        <v>26</v>
      </c>
      <c r="Q7" s="28" t="s">
        <v>119</v>
      </c>
      <c r="R7" s="72" t="s">
        <v>131</v>
      </c>
      <c r="S7" s="40" t="s">
        <v>31</v>
      </c>
      <c r="T7" s="74" t="s">
        <v>132</v>
      </c>
      <c r="U7" s="72" t="s">
        <v>133</v>
      </c>
      <c r="V7" s="40" t="s">
        <v>32</v>
      </c>
      <c r="W7" s="74" t="s">
        <v>134</v>
      </c>
      <c r="X7" s="72" t="s">
        <v>136</v>
      </c>
      <c r="Y7" s="40" t="s">
        <v>110</v>
      </c>
      <c r="Z7" s="74" t="s">
        <v>137</v>
      </c>
    </row>
    <row r="8" spans="1:26" x14ac:dyDescent="0.25">
      <c r="B8" s="11">
        <v>4405</v>
      </c>
      <c r="C8" s="11" t="s">
        <v>108</v>
      </c>
      <c r="D8" s="12" t="s">
        <v>34</v>
      </c>
      <c r="E8" s="12">
        <v>43466</v>
      </c>
      <c r="F8" s="77"/>
      <c r="G8" s="23" t="str">
        <f>IFERROR(IF(Tbl_B5_Help_01[[#This Row],[Start Weekday ("DDD")]]="","",IF(AND(_xlfn.ISFORMULA(Tbl_B5_Help_01[[#This Row],[Start Weekday ("DDD")]]),EXACT(Tbl_B5_Help_01[[#This Row],[Start Weekday ("DDD")]],Tbl_B5_Help_01[[#This Row],[Start Weekday ("DDD") ANS]])),Rng_Lkp_AnswerStatus_Good,Rng_Lkp_AnswerStatus_Bad)),Rng_Lkp_AnswerStatus_Bad)</f>
        <v/>
      </c>
      <c r="H8" s="37" t="str">
        <f>TEXT(Tbl_B5_Help_01[[#This Row],[Member Start Date]],"DDD")</f>
        <v>Tue</v>
      </c>
      <c r="I8" s="77"/>
      <c r="J8" s="23" t="str">
        <f>IFERROR(IF(Tbl_B5_Help_01[[#This Row],[Start Month ("MMM")]]="","",IF(AND(_xlfn.ISFORMULA(Tbl_B5_Help_01[[#This Row],[Start Month ("MMM")]]),EXACT(Tbl_B5_Help_01[[#This Row],[Start Month ("MMM")]],Tbl_B5_Help_01[[#This Row],[Start Month ("MMM") ANS]])),Rng_Lkp_AnswerStatus_Good,Rng_Lkp_AnswerStatus_Bad)),Rng_Lkp_AnswerStatus_Bad)</f>
        <v/>
      </c>
      <c r="K8" s="37" t="str">
        <f>TEXT(Tbl_B5_Help_01[[#This Row],[Member Start Date]],"MMM")</f>
        <v>Jan</v>
      </c>
      <c r="L8" s="78"/>
      <c r="M8" s="23" t="str">
        <f>IFERROR(IF(Tbl_B5_Help_01[[#This Row],[Start Day ("D")]]="","",IF(AND(_xlfn.ISFORMULA(Tbl_B5_Help_01[[#This Row],[Start Day ("D")]]),EXACT(Tbl_B5_Help_01[[#This Row],[Start Day ("D")]],Tbl_B5_Help_01[[#This Row],[Start Day ("D") ANS]])),Rng_Lkp_AnswerStatus_Good,Rng_Lkp_AnswerStatus_Bad)),Rng_Lkp_AnswerStatus_Bad)</f>
        <v/>
      </c>
      <c r="N8" s="37" t="str">
        <f>TEXT(Tbl_B5_Help_01[[#This Row],[Member Start Date]],"D")</f>
        <v>1</v>
      </c>
      <c r="O8" s="78"/>
      <c r="P8" s="23" t="str">
        <f>IFERROR(IF(Tbl_B5_Help_01[[#This Row],[Start Year ("YYYY")]]="","",IF(AND(_xlfn.ISFORMULA(Tbl_B5_Help_01[[#This Row],[Start Year ("YYYY")]]),EXACT(Tbl_B5_Help_01[[#This Row],[Start Year ("YYYY")]],Tbl_B5_Help_01[[#This Row],[Start Year ("YYYY") ANS]])),Rng_Lkp_AnswerStatus_Good,Rng_Lkp_AnswerStatus_Bad)),Rng_Lkp_AnswerStatus_Bad)</f>
        <v/>
      </c>
      <c r="Q8" s="37" t="str">
        <f>TEXT(Tbl_B5_Help_01[[#This Row],[Member Start Date]],"YYYY")</f>
        <v>2019</v>
      </c>
      <c r="R8" s="78"/>
      <c r="S8" s="23" t="str">
        <f>IFERROR(IF(Tbl_B5_Help_01[[#This Row],[Full Start Date ("DDD, MMM D, YYYY")]]="","",IF(AND(_xlfn.ISFORMULA(Tbl_B5_Help_01[[#This Row],[Full Start Date ("DDD, MMM D, YYYY")]]),EXACT(Tbl_B5_Help_01[[#This Row],[Full Start Date ("DDD, MMM D, YYYY")]],Tbl_B5_Help_01[[#This Row],[Full Start Date ("DDD, MMM D, YYYY") ANS]])),Rng_Lkp_AnswerStatus_Good,Rng_Lkp_AnswerStatus_Bad)),Rng_Lkp_AnswerStatus_Bad)</f>
        <v/>
      </c>
      <c r="T8" s="37" t="str">
        <f>TEXT(Tbl_B5_Help_01[[#This Row],[Member Start Date]],"DDD, MMM D, YYYY")</f>
        <v>Tue, Jan 1, 2019</v>
      </c>
      <c r="U8" s="78"/>
      <c r="V8" s="23" t="str">
        <f>IFERROR(IF(Tbl_B5_Help_01[[#This Row],[Full Start Date ("DDD, MMM D, YYYY") using Q1-4]]="","",IF(AND(_xlfn.ISFORMULA(Tbl_B5_Help_01[[#This Row],[Full Start Date ("DDD, MMM D, YYYY") using Q1-4]]),EXACT(Tbl_B5_Help_01[[#This Row],[Full Start Date ("DDD, MMM D, YYYY") using Q1-4]],Tbl_B5_Help_01[[#This Row],[Full Start Date ("DDD, MMM D, YYYY") using Q1-4 ANS]])),Rng_Lkp_AnswerStatus_Good,Rng_Lkp_AnswerStatus_Bad)),Rng_Lkp_AnswerStatus_Bad)</f>
        <v/>
      </c>
      <c r="W8" s="37" t="str">
        <f>_xlfn.CONCAT(Tbl_B5_Help_01[[#This Row],[Start Weekday ("DDD") ANS]],", ",Tbl_B5_Help_01[[#This Row],[Start Month ("MMM") ANS]]," ",Tbl_B5_Help_01[[#This Row],[Start Day ("D") ANS]],", ",Tbl_B5_Help_01[[#This Row],[Start Year ("YYYY") ANS]])</f>
        <v>Tue, Jan 1, 2019</v>
      </c>
      <c r="X8" s="29"/>
      <c r="Y8" s="23" t="str">
        <f>IFERROR(IF(Tbl_B5_Help_01[[#This Row],[9 Months After Member Start Date]]="","",IF(AND(_xlfn.ISFORMULA(Tbl_B5_Help_01[[#This Row],[9 Months After Member Start Date]]),EXACT(Tbl_B5_Help_01[[#This Row],[9 Months After Member Start Date]],Tbl_B5_Help_01[[#This Row],[9 Months After Member Start Date ANS]])),Rng_Lkp_AnswerStatus_Good,Rng_Lkp_AnswerStatus_Bad)),Rng_Lkp_AnswerStatus_Bad)</f>
        <v/>
      </c>
      <c r="Z8" s="30">
        <f>EDATE(Tbl_B5_Help_01[[#This Row],[Member Start Date]],9)</f>
        <v>43739</v>
      </c>
    </row>
    <row r="9" spans="1:26" x14ac:dyDescent="0.25">
      <c r="B9" s="11">
        <v>1030</v>
      </c>
      <c r="C9" s="11" t="s">
        <v>4</v>
      </c>
      <c r="D9" s="12" t="s">
        <v>35</v>
      </c>
      <c r="E9" s="12">
        <v>41239</v>
      </c>
      <c r="F9" s="78"/>
      <c r="G9" s="23" t="str">
        <f>IFERROR(IF(Tbl_B5_Help_01[[#This Row],[Start Weekday ("DDD")]]="","",IF(AND(_xlfn.ISFORMULA(Tbl_B5_Help_01[[#This Row],[Start Weekday ("DDD")]]),EXACT(Tbl_B5_Help_01[[#This Row],[Start Weekday ("DDD")]],Tbl_B5_Help_01[[#This Row],[Start Weekday ("DDD") ANS]])),Rng_Lkp_AnswerStatus_Good,Rng_Lkp_AnswerStatus_Bad)),Rng_Lkp_AnswerStatus_Bad)</f>
        <v/>
      </c>
      <c r="H9" s="37" t="str">
        <f>TEXT(Tbl_B5_Help_01[[#This Row],[Member Start Date]],"DDD")</f>
        <v>Mon</v>
      </c>
      <c r="I9" s="78"/>
      <c r="J9" s="23" t="str">
        <f>IFERROR(IF(Tbl_B5_Help_01[[#This Row],[Start Month ("MMM")]]="","",IF(AND(_xlfn.ISFORMULA(Tbl_B5_Help_01[[#This Row],[Start Month ("MMM")]]),EXACT(Tbl_B5_Help_01[[#This Row],[Start Month ("MMM")]],Tbl_B5_Help_01[[#This Row],[Start Month ("MMM") ANS]])),Rng_Lkp_AnswerStatus_Good,Rng_Lkp_AnswerStatus_Bad)),Rng_Lkp_AnswerStatus_Bad)</f>
        <v/>
      </c>
      <c r="K9" s="37" t="str">
        <f>TEXT(Tbl_B5_Help_01[[#This Row],[Member Start Date]],"MMM")</f>
        <v>Nov</v>
      </c>
      <c r="L9" s="78"/>
      <c r="M9" s="23" t="str">
        <f>IFERROR(IF(Tbl_B5_Help_01[[#This Row],[Start Day ("D")]]="","",IF(AND(_xlfn.ISFORMULA(Tbl_B5_Help_01[[#This Row],[Start Day ("D")]]),EXACT(Tbl_B5_Help_01[[#This Row],[Start Day ("D")]],Tbl_B5_Help_01[[#This Row],[Start Day ("D") ANS]])),Rng_Lkp_AnswerStatus_Good,Rng_Lkp_AnswerStatus_Bad)),Rng_Lkp_AnswerStatus_Bad)</f>
        <v/>
      </c>
      <c r="N9" s="37" t="str">
        <f>TEXT(Tbl_B5_Help_01[[#This Row],[Member Start Date]],"D")</f>
        <v>26</v>
      </c>
      <c r="O9" s="78"/>
      <c r="P9" s="23" t="str">
        <f>IFERROR(IF(Tbl_B5_Help_01[[#This Row],[Start Year ("YYYY")]]="","",IF(AND(_xlfn.ISFORMULA(Tbl_B5_Help_01[[#This Row],[Start Year ("YYYY")]]),EXACT(Tbl_B5_Help_01[[#This Row],[Start Year ("YYYY")]],Tbl_B5_Help_01[[#This Row],[Start Year ("YYYY") ANS]])),Rng_Lkp_AnswerStatus_Good,Rng_Lkp_AnswerStatus_Bad)),Rng_Lkp_AnswerStatus_Bad)</f>
        <v/>
      </c>
      <c r="Q9" s="37" t="str">
        <f>TEXT(Tbl_B5_Help_01[[#This Row],[Member Start Date]],"YYYY")</f>
        <v>2012</v>
      </c>
      <c r="R9" s="78"/>
      <c r="S9" s="23" t="str">
        <f>IFERROR(IF(Tbl_B5_Help_01[[#This Row],[Full Start Date ("DDD, MMM D, YYYY")]]="","",IF(AND(_xlfn.ISFORMULA(Tbl_B5_Help_01[[#This Row],[Full Start Date ("DDD, MMM D, YYYY")]]),EXACT(Tbl_B5_Help_01[[#This Row],[Full Start Date ("DDD, MMM D, YYYY")]],Tbl_B5_Help_01[[#This Row],[Full Start Date ("DDD, MMM D, YYYY") ANS]])),Rng_Lkp_AnswerStatus_Good,Rng_Lkp_AnswerStatus_Bad)),Rng_Lkp_AnswerStatus_Bad)</f>
        <v/>
      </c>
      <c r="T9" s="37" t="str">
        <f>TEXT(Tbl_B5_Help_01[[#This Row],[Member Start Date]],"DDD, MMM D, YYYY")</f>
        <v>Mon, Nov 26, 2012</v>
      </c>
      <c r="U9" s="78"/>
      <c r="V9" s="23" t="str">
        <f>IFERROR(IF(Tbl_B5_Help_01[[#This Row],[Full Start Date ("DDD, MMM D, YYYY") using Q1-4]]="","",IF(AND(_xlfn.ISFORMULA(Tbl_B5_Help_01[[#This Row],[Full Start Date ("DDD, MMM D, YYYY") using Q1-4]]),EXACT(Tbl_B5_Help_01[[#This Row],[Full Start Date ("DDD, MMM D, YYYY") using Q1-4]],Tbl_B5_Help_01[[#This Row],[Full Start Date ("DDD, MMM D, YYYY") using Q1-4 ANS]])),Rng_Lkp_AnswerStatus_Good,Rng_Lkp_AnswerStatus_Bad)),Rng_Lkp_AnswerStatus_Bad)</f>
        <v/>
      </c>
      <c r="W9" s="37" t="str">
        <f>_xlfn.CONCAT(Tbl_B5_Help_01[[#This Row],[Start Weekday ("DDD") ANS]],", ",Tbl_B5_Help_01[[#This Row],[Start Month ("MMM") ANS]]," ",Tbl_B5_Help_01[[#This Row],[Start Day ("D") ANS]],", ",Tbl_B5_Help_01[[#This Row],[Start Year ("YYYY") ANS]])</f>
        <v>Mon, Nov 26, 2012</v>
      </c>
      <c r="X9" s="29"/>
      <c r="Y9" s="23" t="str">
        <f>IFERROR(IF(Tbl_B5_Help_01[[#This Row],[9 Months After Member Start Date]]="","",IF(AND(_xlfn.ISFORMULA(Tbl_B5_Help_01[[#This Row],[9 Months After Member Start Date]]),EXACT(Tbl_B5_Help_01[[#This Row],[9 Months After Member Start Date]],Tbl_B5_Help_01[[#This Row],[9 Months After Member Start Date ANS]])),Rng_Lkp_AnswerStatus_Good,Rng_Lkp_AnswerStatus_Bad)),Rng_Lkp_AnswerStatus_Bad)</f>
        <v/>
      </c>
      <c r="Z9" s="30">
        <f>EDATE(Tbl_B5_Help_01[[#This Row],[Member Start Date]],9)</f>
        <v>41512</v>
      </c>
    </row>
    <row r="10" spans="1:26" x14ac:dyDescent="0.25">
      <c r="B10" s="11">
        <v>1603</v>
      </c>
      <c r="C10" s="11" t="s">
        <v>107</v>
      </c>
      <c r="D10" s="12" t="s">
        <v>34</v>
      </c>
      <c r="E10" s="12">
        <v>41269</v>
      </c>
      <c r="F10" s="78"/>
      <c r="G10" s="23" t="str">
        <f>IFERROR(IF(Tbl_B5_Help_01[[#This Row],[Start Weekday ("DDD")]]="","",IF(AND(_xlfn.ISFORMULA(Tbl_B5_Help_01[[#This Row],[Start Weekday ("DDD")]]),EXACT(Tbl_B5_Help_01[[#This Row],[Start Weekday ("DDD")]],Tbl_B5_Help_01[[#This Row],[Start Weekday ("DDD") ANS]])),Rng_Lkp_AnswerStatus_Good,Rng_Lkp_AnswerStatus_Bad)),Rng_Lkp_AnswerStatus_Bad)</f>
        <v/>
      </c>
      <c r="H10" s="37" t="str">
        <f>TEXT(Tbl_B5_Help_01[[#This Row],[Member Start Date]],"DDD")</f>
        <v>Wed</v>
      </c>
      <c r="I10" s="78"/>
      <c r="J10" s="23" t="str">
        <f>IFERROR(IF(Tbl_B5_Help_01[[#This Row],[Start Month ("MMM")]]="","",IF(AND(_xlfn.ISFORMULA(Tbl_B5_Help_01[[#This Row],[Start Month ("MMM")]]),EXACT(Tbl_B5_Help_01[[#This Row],[Start Month ("MMM")]],Tbl_B5_Help_01[[#This Row],[Start Month ("MMM") ANS]])),Rng_Lkp_AnswerStatus_Good,Rng_Lkp_AnswerStatus_Bad)),Rng_Lkp_AnswerStatus_Bad)</f>
        <v/>
      </c>
      <c r="K10" s="37" t="str">
        <f>TEXT(Tbl_B5_Help_01[[#This Row],[Member Start Date]],"MMM")</f>
        <v>Dec</v>
      </c>
      <c r="L10" s="78"/>
      <c r="M10" s="23" t="str">
        <f>IFERROR(IF(Tbl_B5_Help_01[[#This Row],[Start Day ("D")]]="","",IF(AND(_xlfn.ISFORMULA(Tbl_B5_Help_01[[#This Row],[Start Day ("D")]]),EXACT(Tbl_B5_Help_01[[#This Row],[Start Day ("D")]],Tbl_B5_Help_01[[#This Row],[Start Day ("D") ANS]])),Rng_Lkp_AnswerStatus_Good,Rng_Lkp_AnswerStatus_Bad)),Rng_Lkp_AnswerStatus_Bad)</f>
        <v/>
      </c>
      <c r="N10" s="37" t="str">
        <f>TEXT(Tbl_B5_Help_01[[#This Row],[Member Start Date]],"D")</f>
        <v>26</v>
      </c>
      <c r="O10" s="78"/>
      <c r="P10" s="23" t="str">
        <f>IFERROR(IF(Tbl_B5_Help_01[[#This Row],[Start Year ("YYYY")]]="","",IF(AND(_xlfn.ISFORMULA(Tbl_B5_Help_01[[#This Row],[Start Year ("YYYY")]]),EXACT(Tbl_B5_Help_01[[#This Row],[Start Year ("YYYY")]],Tbl_B5_Help_01[[#This Row],[Start Year ("YYYY") ANS]])),Rng_Lkp_AnswerStatus_Good,Rng_Lkp_AnswerStatus_Bad)),Rng_Lkp_AnswerStatus_Bad)</f>
        <v/>
      </c>
      <c r="Q10" s="37" t="str">
        <f>TEXT(Tbl_B5_Help_01[[#This Row],[Member Start Date]],"YYYY")</f>
        <v>2012</v>
      </c>
      <c r="R10" s="78"/>
      <c r="S10" s="23" t="str">
        <f>IFERROR(IF(Tbl_B5_Help_01[[#This Row],[Full Start Date ("DDD, MMM D, YYYY")]]="","",IF(AND(_xlfn.ISFORMULA(Tbl_B5_Help_01[[#This Row],[Full Start Date ("DDD, MMM D, YYYY")]]),EXACT(Tbl_B5_Help_01[[#This Row],[Full Start Date ("DDD, MMM D, YYYY")]],Tbl_B5_Help_01[[#This Row],[Full Start Date ("DDD, MMM D, YYYY") ANS]])),Rng_Lkp_AnswerStatus_Good,Rng_Lkp_AnswerStatus_Bad)),Rng_Lkp_AnswerStatus_Bad)</f>
        <v/>
      </c>
      <c r="T10" s="37" t="str">
        <f>TEXT(Tbl_B5_Help_01[[#This Row],[Member Start Date]],"DDD, MMM D, YYYY")</f>
        <v>Wed, Dec 26, 2012</v>
      </c>
      <c r="U10" s="78"/>
      <c r="V10" s="23" t="str">
        <f>IFERROR(IF(Tbl_B5_Help_01[[#This Row],[Full Start Date ("DDD, MMM D, YYYY") using Q1-4]]="","",IF(AND(_xlfn.ISFORMULA(Tbl_B5_Help_01[[#This Row],[Full Start Date ("DDD, MMM D, YYYY") using Q1-4]]),EXACT(Tbl_B5_Help_01[[#This Row],[Full Start Date ("DDD, MMM D, YYYY") using Q1-4]],Tbl_B5_Help_01[[#This Row],[Full Start Date ("DDD, MMM D, YYYY") using Q1-4 ANS]])),Rng_Lkp_AnswerStatus_Good,Rng_Lkp_AnswerStatus_Bad)),Rng_Lkp_AnswerStatus_Bad)</f>
        <v/>
      </c>
      <c r="W10" s="37" t="str">
        <f>_xlfn.CONCAT(Tbl_B5_Help_01[[#This Row],[Start Weekday ("DDD") ANS]],", ",Tbl_B5_Help_01[[#This Row],[Start Month ("MMM") ANS]]," ",Tbl_B5_Help_01[[#This Row],[Start Day ("D") ANS]],", ",Tbl_B5_Help_01[[#This Row],[Start Year ("YYYY") ANS]])</f>
        <v>Wed, Dec 26, 2012</v>
      </c>
      <c r="X10" s="29"/>
      <c r="Y10" s="23" t="str">
        <f>IFERROR(IF(Tbl_B5_Help_01[[#This Row],[9 Months After Member Start Date]]="","",IF(AND(_xlfn.ISFORMULA(Tbl_B5_Help_01[[#This Row],[9 Months After Member Start Date]]),EXACT(Tbl_B5_Help_01[[#This Row],[9 Months After Member Start Date]],Tbl_B5_Help_01[[#This Row],[9 Months After Member Start Date ANS]])),Rng_Lkp_AnswerStatus_Good,Rng_Lkp_AnswerStatus_Bad)),Rng_Lkp_AnswerStatus_Bad)</f>
        <v/>
      </c>
      <c r="Z10" s="30">
        <f>EDATE(Tbl_B5_Help_01[[#This Row],[Member Start Date]],9)</f>
        <v>41543</v>
      </c>
    </row>
    <row r="11" spans="1:26" x14ac:dyDescent="0.25">
      <c r="B11" s="11">
        <v>4298</v>
      </c>
      <c r="C11" s="11" t="s">
        <v>5</v>
      </c>
      <c r="D11" s="12" t="s">
        <v>37</v>
      </c>
      <c r="E11" s="12">
        <v>42895</v>
      </c>
      <c r="F11" s="78"/>
      <c r="G11" s="23" t="str">
        <f>IFERROR(IF(Tbl_B5_Help_01[[#This Row],[Start Weekday ("DDD")]]="","",IF(AND(_xlfn.ISFORMULA(Tbl_B5_Help_01[[#This Row],[Start Weekday ("DDD")]]),EXACT(Tbl_B5_Help_01[[#This Row],[Start Weekday ("DDD")]],Tbl_B5_Help_01[[#This Row],[Start Weekday ("DDD") ANS]])),Rng_Lkp_AnswerStatus_Good,Rng_Lkp_AnswerStatus_Bad)),Rng_Lkp_AnswerStatus_Bad)</f>
        <v/>
      </c>
      <c r="H11" s="37" t="str">
        <f>TEXT(Tbl_B5_Help_01[[#This Row],[Member Start Date]],"DDD")</f>
        <v>Fri</v>
      </c>
      <c r="I11" s="78"/>
      <c r="J11" s="23" t="str">
        <f>IFERROR(IF(Tbl_B5_Help_01[[#This Row],[Start Month ("MMM")]]="","",IF(AND(_xlfn.ISFORMULA(Tbl_B5_Help_01[[#This Row],[Start Month ("MMM")]]),EXACT(Tbl_B5_Help_01[[#This Row],[Start Month ("MMM")]],Tbl_B5_Help_01[[#This Row],[Start Month ("MMM") ANS]])),Rng_Lkp_AnswerStatus_Good,Rng_Lkp_AnswerStatus_Bad)),Rng_Lkp_AnswerStatus_Bad)</f>
        <v/>
      </c>
      <c r="K11" s="37" t="str">
        <f>TEXT(Tbl_B5_Help_01[[#This Row],[Member Start Date]],"MMM")</f>
        <v>Jun</v>
      </c>
      <c r="L11" s="78"/>
      <c r="M11" s="23" t="str">
        <f>IFERROR(IF(Tbl_B5_Help_01[[#This Row],[Start Day ("D")]]="","",IF(AND(_xlfn.ISFORMULA(Tbl_B5_Help_01[[#This Row],[Start Day ("D")]]),EXACT(Tbl_B5_Help_01[[#This Row],[Start Day ("D")]],Tbl_B5_Help_01[[#This Row],[Start Day ("D") ANS]])),Rng_Lkp_AnswerStatus_Good,Rng_Lkp_AnswerStatus_Bad)),Rng_Lkp_AnswerStatus_Bad)</f>
        <v/>
      </c>
      <c r="N11" s="37" t="str">
        <f>TEXT(Tbl_B5_Help_01[[#This Row],[Member Start Date]],"D")</f>
        <v>9</v>
      </c>
      <c r="O11" s="78"/>
      <c r="P11" s="23" t="str">
        <f>IFERROR(IF(Tbl_B5_Help_01[[#This Row],[Start Year ("YYYY")]]="","",IF(AND(_xlfn.ISFORMULA(Tbl_B5_Help_01[[#This Row],[Start Year ("YYYY")]]),EXACT(Tbl_B5_Help_01[[#This Row],[Start Year ("YYYY")]],Tbl_B5_Help_01[[#This Row],[Start Year ("YYYY") ANS]])),Rng_Lkp_AnswerStatus_Good,Rng_Lkp_AnswerStatus_Bad)),Rng_Lkp_AnswerStatus_Bad)</f>
        <v/>
      </c>
      <c r="Q11" s="37" t="str">
        <f>TEXT(Tbl_B5_Help_01[[#This Row],[Member Start Date]],"YYYY")</f>
        <v>2017</v>
      </c>
      <c r="R11" s="78"/>
      <c r="S11" s="23" t="str">
        <f>IFERROR(IF(Tbl_B5_Help_01[[#This Row],[Full Start Date ("DDD, MMM D, YYYY")]]="","",IF(AND(_xlfn.ISFORMULA(Tbl_B5_Help_01[[#This Row],[Full Start Date ("DDD, MMM D, YYYY")]]),EXACT(Tbl_B5_Help_01[[#This Row],[Full Start Date ("DDD, MMM D, YYYY")]],Tbl_B5_Help_01[[#This Row],[Full Start Date ("DDD, MMM D, YYYY") ANS]])),Rng_Lkp_AnswerStatus_Good,Rng_Lkp_AnswerStatus_Bad)),Rng_Lkp_AnswerStatus_Bad)</f>
        <v/>
      </c>
      <c r="T11" s="37" t="str">
        <f>TEXT(Tbl_B5_Help_01[[#This Row],[Member Start Date]],"DDD, MMM D, YYYY")</f>
        <v>Fri, Jun 9, 2017</v>
      </c>
      <c r="U11" s="78"/>
      <c r="V11" s="23" t="str">
        <f>IFERROR(IF(Tbl_B5_Help_01[[#This Row],[Full Start Date ("DDD, MMM D, YYYY") using Q1-4]]="","",IF(AND(_xlfn.ISFORMULA(Tbl_B5_Help_01[[#This Row],[Full Start Date ("DDD, MMM D, YYYY") using Q1-4]]),EXACT(Tbl_B5_Help_01[[#This Row],[Full Start Date ("DDD, MMM D, YYYY") using Q1-4]],Tbl_B5_Help_01[[#This Row],[Full Start Date ("DDD, MMM D, YYYY") using Q1-4 ANS]])),Rng_Lkp_AnswerStatus_Good,Rng_Lkp_AnswerStatus_Bad)),Rng_Lkp_AnswerStatus_Bad)</f>
        <v/>
      </c>
      <c r="W11" s="37" t="str">
        <f>_xlfn.CONCAT(Tbl_B5_Help_01[[#This Row],[Start Weekday ("DDD") ANS]],", ",Tbl_B5_Help_01[[#This Row],[Start Month ("MMM") ANS]]," ",Tbl_B5_Help_01[[#This Row],[Start Day ("D") ANS]],", ",Tbl_B5_Help_01[[#This Row],[Start Year ("YYYY") ANS]])</f>
        <v>Fri, Jun 9, 2017</v>
      </c>
      <c r="X11" s="29"/>
      <c r="Y11" s="23" t="str">
        <f>IFERROR(IF(Tbl_B5_Help_01[[#This Row],[9 Months After Member Start Date]]="","",IF(AND(_xlfn.ISFORMULA(Tbl_B5_Help_01[[#This Row],[9 Months After Member Start Date]]),EXACT(Tbl_B5_Help_01[[#This Row],[9 Months After Member Start Date]],Tbl_B5_Help_01[[#This Row],[9 Months After Member Start Date ANS]])),Rng_Lkp_AnswerStatus_Good,Rng_Lkp_AnswerStatus_Bad)),Rng_Lkp_AnswerStatus_Bad)</f>
        <v/>
      </c>
      <c r="Z11" s="30">
        <f>EDATE(Tbl_B5_Help_01[[#This Row],[Member Start Date]],9)</f>
        <v>43168</v>
      </c>
    </row>
    <row r="12" spans="1:26" x14ac:dyDescent="0.25">
      <c r="B12" s="11">
        <v>2352</v>
      </c>
      <c r="C12" s="11" t="s">
        <v>104</v>
      </c>
      <c r="D12" s="12" t="s">
        <v>38</v>
      </c>
      <c r="E12" s="12">
        <v>43466</v>
      </c>
      <c r="F12" s="78"/>
      <c r="G12" s="23" t="str">
        <f>IFERROR(IF(Tbl_B5_Help_01[[#This Row],[Start Weekday ("DDD")]]="","",IF(AND(_xlfn.ISFORMULA(Tbl_B5_Help_01[[#This Row],[Start Weekday ("DDD")]]),EXACT(Tbl_B5_Help_01[[#This Row],[Start Weekday ("DDD")]],Tbl_B5_Help_01[[#This Row],[Start Weekday ("DDD") ANS]])),Rng_Lkp_AnswerStatus_Good,Rng_Lkp_AnswerStatus_Bad)),Rng_Lkp_AnswerStatus_Bad)</f>
        <v/>
      </c>
      <c r="H12" s="37" t="str">
        <f>TEXT(Tbl_B5_Help_01[[#This Row],[Member Start Date]],"DDD")</f>
        <v>Tue</v>
      </c>
      <c r="I12" s="78"/>
      <c r="J12" s="23" t="str">
        <f>IFERROR(IF(Tbl_B5_Help_01[[#This Row],[Start Month ("MMM")]]="","",IF(AND(_xlfn.ISFORMULA(Tbl_B5_Help_01[[#This Row],[Start Month ("MMM")]]),EXACT(Tbl_B5_Help_01[[#This Row],[Start Month ("MMM")]],Tbl_B5_Help_01[[#This Row],[Start Month ("MMM") ANS]])),Rng_Lkp_AnswerStatus_Good,Rng_Lkp_AnswerStatus_Bad)),Rng_Lkp_AnswerStatus_Bad)</f>
        <v/>
      </c>
      <c r="K12" s="37" t="str">
        <f>TEXT(Tbl_B5_Help_01[[#This Row],[Member Start Date]],"MMM")</f>
        <v>Jan</v>
      </c>
      <c r="L12" s="78"/>
      <c r="M12" s="23" t="str">
        <f>IFERROR(IF(Tbl_B5_Help_01[[#This Row],[Start Day ("D")]]="","",IF(AND(_xlfn.ISFORMULA(Tbl_B5_Help_01[[#This Row],[Start Day ("D")]]),EXACT(Tbl_B5_Help_01[[#This Row],[Start Day ("D")]],Tbl_B5_Help_01[[#This Row],[Start Day ("D") ANS]])),Rng_Lkp_AnswerStatus_Good,Rng_Lkp_AnswerStatus_Bad)),Rng_Lkp_AnswerStatus_Bad)</f>
        <v/>
      </c>
      <c r="N12" s="37" t="str">
        <f>TEXT(Tbl_B5_Help_01[[#This Row],[Member Start Date]],"D")</f>
        <v>1</v>
      </c>
      <c r="O12" s="78"/>
      <c r="P12" s="23" t="str">
        <f>IFERROR(IF(Tbl_B5_Help_01[[#This Row],[Start Year ("YYYY")]]="","",IF(AND(_xlfn.ISFORMULA(Tbl_B5_Help_01[[#This Row],[Start Year ("YYYY")]]),EXACT(Tbl_B5_Help_01[[#This Row],[Start Year ("YYYY")]],Tbl_B5_Help_01[[#This Row],[Start Year ("YYYY") ANS]])),Rng_Lkp_AnswerStatus_Good,Rng_Lkp_AnswerStatus_Bad)),Rng_Lkp_AnswerStatus_Bad)</f>
        <v/>
      </c>
      <c r="Q12" s="37" t="str">
        <f>TEXT(Tbl_B5_Help_01[[#This Row],[Member Start Date]],"YYYY")</f>
        <v>2019</v>
      </c>
      <c r="R12" s="78"/>
      <c r="S12" s="23" t="str">
        <f>IFERROR(IF(Tbl_B5_Help_01[[#This Row],[Full Start Date ("DDD, MMM D, YYYY")]]="","",IF(AND(_xlfn.ISFORMULA(Tbl_B5_Help_01[[#This Row],[Full Start Date ("DDD, MMM D, YYYY")]]),EXACT(Tbl_B5_Help_01[[#This Row],[Full Start Date ("DDD, MMM D, YYYY")]],Tbl_B5_Help_01[[#This Row],[Full Start Date ("DDD, MMM D, YYYY") ANS]])),Rng_Lkp_AnswerStatus_Good,Rng_Lkp_AnswerStatus_Bad)),Rng_Lkp_AnswerStatus_Bad)</f>
        <v/>
      </c>
      <c r="T12" s="37" t="str">
        <f>TEXT(Tbl_B5_Help_01[[#This Row],[Member Start Date]],"DDD, MMM D, YYYY")</f>
        <v>Tue, Jan 1, 2019</v>
      </c>
      <c r="U12" s="78"/>
      <c r="V12" s="23" t="str">
        <f>IFERROR(IF(Tbl_B5_Help_01[[#This Row],[Full Start Date ("DDD, MMM D, YYYY") using Q1-4]]="","",IF(AND(_xlfn.ISFORMULA(Tbl_B5_Help_01[[#This Row],[Full Start Date ("DDD, MMM D, YYYY") using Q1-4]]),EXACT(Tbl_B5_Help_01[[#This Row],[Full Start Date ("DDD, MMM D, YYYY") using Q1-4]],Tbl_B5_Help_01[[#This Row],[Full Start Date ("DDD, MMM D, YYYY") using Q1-4 ANS]])),Rng_Lkp_AnswerStatus_Good,Rng_Lkp_AnswerStatus_Bad)),Rng_Lkp_AnswerStatus_Bad)</f>
        <v/>
      </c>
      <c r="W12" s="37" t="str">
        <f>_xlfn.CONCAT(Tbl_B5_Help_01[[#This Row],[Start Weekday ("DDD") ANS]],", ",Tbl_B5_Help_01[[#This Row],[Start Month ("MMM") ANS]]," ",Tbl_B5_Help_01[[#This Row],[Start Day ("D") ANS]],", ",Tbl_B5_Help_01[[#This Row],[Start Year ("YYYY") ANS]])</f>
        <v>Tue, Jan 1, 2019</v>
      </c>
      <c r="X12" s="29"/>
      <c r="Y12" s="23" t="str">
        <f>IFERROR(IF(Tbl_B5_Help_01[[#This Row],[9 Months After Member Start Date]]="","",IF(AND(_xlfn.ISFORMULA(Tbl_B5_Help_01[[#This Row],[9 Months After Member Start Date]]),EXACT(Tbl_B5_Help_01[[#This Row],[9 Months After Member Start Date]],Tbl_B5_Help_01[[#This Row],[9 Months After Member Start Date ANS]])),Rng_Lkp_AnswerStatus_Good,Rng_Lkp_AnswerStatus_Bad)),Rng_Lkp_AnswerStatus_Bad)</f>
        <v/>
      </c>
      <c r="Z12" s="30">
        <f>EDATE(Tbl_B5_Help_01[[#This Row],[Member Start Date]],9)</f>
        <v>43739</v>
      </c>
    </row>
    <row r="13" spans="1:26" x14ac:dyDescent="0.25">
      <c r="B13" s="11">
        <v>1049</v>
      </c>
      <c r="C13" s="11" t="s">
        <v>105</v>
      </c>
      <c r="D13" s="12" t="s">
        <v>34</v>
      </c>
      <c r="E13" s="12">
        <v>40855</v>
      </c>
      <c r="F13" s="78"/>
      <c r="G13" s="23" t="str">
        <f>IFERROR(IF(Tbl_B5_Help_01[[#This Row],[Start Weekday ("DDD")]]="","",IF(AND(_xlfn.ISFORMULA(Tbl_B5_Help_01[[#This Row],[Start Weekday ("DDD")]]),EXACT(Tbl_B5_Help_01[[#This Row],[Start Weekday ("DDD")]],Tbl_B5_Help_01[[#This Row],[Start Weekday ("DDD") ANS]])),Rng_Lkp_AnswerStatus_Good,Rng_Lkp_AnswerStatus_Bad)),Rng_Lkp_AnswerStatus_Bad)</f>
        <v/>
      </c>
      <c r="H13" s="37" t="str">
        <f>TEXT(Tbl_B5_Help_01[[#This Row],[Member Start Date]],"DDD")</f>
        <v>Tue</v>
      </c>
      <c r="I13" s="78"/>
      <c r="J13" s="23" t="str">
        <f>IFERROR(IF(Tbl_B5_Help_01[[#This Row],[Start Month ("MMM")]]="","",IF(AND(_xlfn.ISFORMULA(Tbl_B5_Help_01[[#This Row],[Start Month ("MMM")]]),EXACT(Tbl_B5_Help_01[[#This Row],[Start Month ("MMM")]],Tbl_B5_Help_01[[#This Row],[Start Month ("MMM") ANS]])),Rng_Lkp_AnswerStatus_Good,Rng_Lkp_AnswerStatus_Bad)),Rng_Lkp_AnswerStatus_Bad)</f>
        <v/>
      </c>
      <c r="K13" s="37" t="str">
        <f>TEXT(Tbl_B5_Help_01[[#This Row],[Member Start Date]],"MMM")</f>
        <v>Nov</v>
      </c>
      <c r="L13" s="78"/>
      <c r="M13" s="23" t="str">
        <f>IFERROR(IF(Tbl_B5_Help_01[[#This Row],[Start Day ("D")]]="","",IF(AND(_xlfn.ISFORMULA(Tbl_B5_Help_01[[#This Row],[Start Day ("D")]]),EXACT(Tbl_B5_Help_01[[#This Row],[Start Day ("D")]],Tbl_B5_Help_01[[#This Row],[Start Day ("D") ANS]])),Rng_Lkp_AnswerStatus_Good,Rng_Lkp_AnswerStatus_Bad)),Rng_Lkp_AnswerStatus_Bad)</f>
        <v/>
      </c>
      <c r="N13" s="37" t="str">
        <f>TEXT(Tbl_B5_Help_01[[#This Row],[Member Start Date]],"D")</f>
        <v>8</v>
      </c>
      <c r="O13" s="78"/>
      <c r="P13" s="23" t="str">
        <f>IFERROR(IF(Tbl_B5_Help_01[[#This Row],[Start Year ("YYYY")]]="","",IF(AND(_xlfn.ISFORMULA(Tbl_B5_Help_01[[#This Row],[Start Year ("YYYY")]]),EXACT(Tbl_B5_Help_01[[#This Row],[Start Year ("YYYY")]],Tbl_B5_Help_01[[#This Row],[Start Year ("YYYY") ANS]])),Rng_Lkp_AnswerStatus_Good,Rng_Lkp_AnswerStatus_Bad)),Rng_Lkp_AnswerStatus_Bad)</f>
        <v/>
      </c>
      <c r="Q13" s="37" t="str">
        <f>TEXT(Tbl_B5_Help_01[[#This Row],[Member Start Date]],"YYYY")</f>
        <v>2011</v>
      </c>
      <c r="R13" s="78"/>
      <c r="S13" s="23" t="str">
        <f>IFERROR(IF(Tbl_B5_Help_01[[#This Row],[Full Start Date ("DDD, MMM D, YYYY")]]="","",IF(AND(_xlfn.ISFORMULA(Tbl_B5_Help_01[[#This Row],[Full Start Date ("DDD, MMM D, YYYY")]]),EXACT(Tbl_B5_Help_01[[#This Row],[Full Start Date ("DDD, MMM D, YYYY")]],Tbl_B5_Help_01[[#This Row],[Full Start Date ("DDD, MMM D, YYYY") ANS]])),Rng_Lkp_AnswerStatus_Good,Rng_Lkp_AnswerStatus_Bad)),Rng_Lkp_AnswerStatus_Bad)</f>
        <v/>
      </c>
      <c r="T13" s="37" t="str">
        <f>TEXT(Tbl_B5_Help_01[[#This Row],[Member Start Date]],"DDD, MMM D, YYYY")</f>
        <v>Tue, Nov 8, 2011</v>
      </c>
      <c r="U13" s="78"/>
      <c r="V13" s="23" t="str">
        <f>IFERROR(IF(Tbl_B5_Help_01[[#This Row],[Full Start Date ("DDD, MMM D, YYYY") using Q1-4]]="","",IF(AND(_xlfn.ISFORMULA(Tbl_B5_Help_01[[#This Row],[Full Start Date ("DDD, MMM D, YYYY") using Q1-4]]),EXACT(Tbl_B5_Help_01[[#This Row],[Full Start Date ("DDD, MMM D, YYYY") using Q1-4]],Tbl_B5_Help_01[[#This Row],[Full Start Date ("DDD, MMM D, YYYY") using Q1-4 ANS]])),Rng_Lkp_AnswerStatus_Good,Rng_Lkp_AnswerStatus_Bad)),Rng_Lkp_AnswerStatus_Bad)</f>
        <v/>
      </c>
      <c r="W13" s="37" t="str">
        <f>_xlfn.CONCAT(Tbl_B5_Help_01[[#This Row],[Start Weekday ("DDD") ANS]],", ",Tbl_B5_Help_01[[#This Row],[Start Month ("MMM") ANS]]," ",Tbl_B5_Help_01[[#This Row],[Start Day ("D") ANS]],", ",Tbl_B5_Help_01[[#This Row],[Start Year ("YYYY") ANS]])</f>
        <v>Tue, Nov 8, 2011</v>
      </c>
      <c r="X13" s="29"/>
      <c r="Y13" s="23" t="str">
        <f>IFERROR(IF(Tbl_B5_Help_01[[#This Row],[9 Months After Member Start Date]]="","",IF(AND(_xlfn.ISFORMULA(Tbl_B5_Help_01[[#This Row],[9 Months After Member Start Date]]),EXACT(Tbl_B5_Help_01[[#This Row],[9 Months After Member Start Date]],Tbl_B5_Help_01[[#This Row],[9 Months After Member Start Date ANS]])),Rng_Lkp_AnswerStatus_Good,Rng_Lkp_AnswerStatus_Bad)),Rng_Lkp_AnswerStatus_Bad)</f>
        <v/>
      </c>
      <c r="Z13" s="30">
        <f>EDATE(Tbl_B5_Help_01[[#This Row],[Member Start Date]],9)</f>
        <v>41129</v>
      </c>
    </row>
    <row r="14" spans="1:26" x14ac:dyDescent="0.25">
      <c r="B14" s="11">
        <v>2278</v>
      </c>
      <c r="C14" s="11" t="s">
        <v>106</v>
      </c>
      <c r="D14" s="12" t="s">
        <v>36</v>
      </c>
      <c r="E14" s="12">
        <v>42166</v>
      </c>
      <c r="F14" s="78"/>
      <c r="G14" s="23" t="str">
        <f>IFERROR(IF(Tbl_B5_Help_01[[#This Row],[Start Weekday ("DDD")]]="","",IF(AND(_xlfn.ISFORMULA(Tbl_B5_Help_01[[#This Row],[Start Weekday ("DDD")]]),EXACT(Tbl_B5_Help_01[[#This Row],[Start Weekday ("DDD")]],Tbl_B5_Help_01[[#This Row],[Start Weekday ("DDD") ANS]])),Rng_Lkp_AnswerStatus_Good,Rng_Lkp_AnswerStatus_Bad)),Rng_Lkp_AnswerStatus_Bad)</f>
        <v/>
      </c>
      <c r="H14" s="37" t="str">
        <f>TEXT(Tbl_B5_Help_01[[#This Row],[Member Start Date]],"DDD")</f>
        <v>Thu</v>
      </c>
      <c r="I14" s="78"/>
      <c r="J14" s="23" t="str">
        <f>IFERROR(IF(Tbl_B5_Help_01[[#This Row],[Start Month ("MMM")]]="","",IF(AND(_xlfn.ISFORMULA(Tbl_B5_Help_01[[#This Row],[Start Month ("MMM")]]),EXACT(Tbl_B5_Help_01[[#This Row],[Start Month ("MMM")]],Tbl_B5_Help_01[[#This Row],[Start Month ("MMM") ANS]])),Rng_Lkp_AnswerStatus_Good,Rng_Lkp_AnswerStatus_Bad)),Rng_Lkp_AnswerStatus_Bad)</f>
        <v/>
      </c>
      <c r="K14" s="37" t="str">
        <f>TEXT(Tbl_B5_Help_01[[#This Row],[Member Start Date]],"MMM")</f>
        <v>Jun</v>
      </c>
      <c r="L14" s="78"/>
      <c r="M14" s="23" t="str">
        <f>IFERROR(IF(Tbl_B5_Help_01[[#This Row],[Start Day ("D")]]="","",IF(AND(_xlfn.ISFORMULA(Tbl_B5_Help_01[[#This Row],[Start Day ("D")]]),EXACT(Tbl_B5_Help_01[[#This Row],[Start Day ("D")]],Tbl_B5_Help_01[[#This Row],[Start Day ("D") ANS]])),Rng_Lkp_AnswerStatus_Good,Rng_Lkp_AnswerStatus_Bad)),Rng_Lkp_AnswerStatus_Bad)</f>
        <v/>
      </c>
      <c r="N14" s="37" t="str">
        <f>TEXT(Tbl_B5_Help_01[[#This Row],[Member Start Date]],"D")</f>
        <v>11</v>
      </c>
      <c r="O14" s="78"/>
      <c r="P14" s="23" t="str">
        <f>IFERROR(IF(Tbl_B5_Help_01[[#This Row],[Start Year ("YYYY")]]="","",IF(AND(_xlfn.ISFORMULA(Tbl_B5_Help_01[[#This Row],[Start Year ("YYYY")]]),EXACT(Tbl_B5_Help_01[[#This Row],[Start Year ("YYYY")]],Tbl_B5_Help_01[[#This Row],[Start Year ("YYYY") ANS]])),Rng_Lkp_AnswerStatus_Good,Rng_Lkp_AnswerStatus_Bad)),Rng_Lkp_AnswerStatus_Bad)</f>
        <v/>
      </c>
      <c r="Q14" s="37" t="str">
        <f>TEXT(Tbl_B5_Help_01[[#This Row],[Member Start Date]],"YYYY")</f>
        <v>2015</v>
      </c>
      <c r="R14" s="78"/>
      <c r="S14" s="23" t="str">
        <f>IFERROR(IF(Tbl_B5_Help_01[[#This Row],[Full Start Date ("DDD, MMM D, YYYY")]]="","",IF(AND(_xlfn.ISFORMULA(Tbl_B5_Help_01[[#This Row],[Full Start Date ("DDD, MMM D, YYYY")]]),EXACT(Tbl_B5_Help_01[[#This Row],[Full Start Date ("DDD, MMM D, YYYY")]],Tbl_B5_Help_01[[#This Row],[Full Start Date ("DDD, MMM D, YYYY") ANS]])),Rng_Lkp_AnswerStatus_Good,Rng_Lkp_AnswerStatus_Bad)),Rng_Lkp_AnswerStatus_Bad)</f>
        <v/>
      </c>
      <c r="T14" s="37" t="str">
        <f>TEXT(Tbl_B5_Help_01[[#This Row],[Member Start Date]],"DDD, MMM D, YYYY")</f>
        <v>Thu, Jun 11, 2015</v>
      </c>
      <c r="U14" s="78"/>
      <c r="V14" s="23" t="str">
        <f>IFERROR(IF(Tbl_B5_Help_01[[#This Row],[Full Start Date ("DDD, MMM D, YYYY") using Q1-4]]="","",IF(AND(_xlfn.ISFORMULA(Tbl_B5_Help_01[[#This Row],[Full Start Date ("DDD, MMM D, YYYY") using Q1-4]]),EXACT(Tbl_B5_Help_01[[#This Row],[Full Start Date ("DDD, MMM D, YYYY") using Q1-4]],Tbl_B5_Help_01[[#This Row],[Full Start Date ("DDD, MMM D, YYYY") using Q1-4 ANS]])),Rng_Lkp_AnswerStatus_Good,Rng_Lkp_AnswerStatus_Bad)),Rng_Lkp_AnswerStatus_Bad)</f>
        <v/>
      </c>
      <c r="W14" s="37" t="str">
        <f>_xlfn.CONCAT(Tbl_B5_Help_01[[#This Row],[Start Weekday ("DDD") ANS]],", ",Tbl_B5_Help_01[[#This Row],[Start Month ("MMM") ANS]]," ",Tbl_B5_Help_01[[#This Row],[Start Day ("D") ANS]],", ",Tbl_B5_Help_01[[#This Row],[Start Year ("YYYY") ANS]])</f>
        <v>Thu, Jun 11, 2015</v>
      </c>
      <c r="X14" s="29"/>
      <c r="Y14" s="23" t="str">
        <f>IFERROR(IF(Tbl_B5_Help_01[[#This Row],[9 Months After Member Start Date]]="","",IF(AND(_xlfn.ISFORMULA(Tbl_B5_Help_01[[#This Row],[9 Months After Member Start Date]]),EXACT(Tbl_B5_Help_01[[#This Row],[9 Months After Member Start Date]],Tbl_B5_Help_01[[#This Row],[9 Months After Member Start Date ANS]])),Rng_Lkp_AnswerStatus_Good,Rng_Lkp_AnswerStatus_Bad)),Rng_Lkp_AnswerStatus_Bad)</f>
        <v/>
      </c>
      <c r="Z14" s="30">
        <f>EDATE(Tbl_B5_Help_01[[#This Row],[Member Start Date]],9)</f>
        <v>42440</v>
      </c>
    </row>
    <row r="15" spans="1:26" x14ac:dyDescent="0.25">
      <c r="B15" s="11">
        <v>4071</v>
      </c>
      <c r="C15" s="11" t="s">
        <v>6</v>
      </c>
      <c r="D15" s="12" t="s">
        <v>37</v>
      </c>
      <c r="E15" s="12">
        <v>43466</v>
      </c>
      <c r="F15" s="78"/>
      <c r="G15" s="23" t="str">
        <f>IFERROR(IF(Tbl_B5_Help_01[[#This Row],[Start Weekday ("DDD")]]="","",IF(AND(_xlfn.ISFORMULA(Tbl_B5_Help_01[[#This Row],[Start Weekday ("DDD")]]),EXACT(Tbl_B5_Help_01[[#This Row],[Start Weekday ("DDD")]],Tbl_B5_Help_01[[#This Row],[Start Weekday ("DDD") ANS]])),Rng_Lkp_AnswerStatus_Good,Rng_Lkp_AnswerStatus_Bad)),Rng_Lkp_AnswerStatus_Bad)</f>
        <v/>
      </c>
      <c r="H15" s="37" t="str">
        <f>TEXT(Tbl_B5_Help_01[[#This Row],[Member Start Date]],"DDD")</f>
        <v>Tue</v>
      </c>
      <c r="I15" s="78"/>
      <c r="J15" s="23" t="str">
        <f>IFERROR(IF(Tbl_B5_Help_01[[#This Row],[Start Month ("MMM")]]="","",IF(AND(_xlfn.ISFORMULA(Tbl_B5_Help_01[[#This Row],[Start Month ("MMM")]]),EXACT(Tbl_B5_Help_01[[#This Row],[Start Month ("MMM")]],Tbl_B5_Help_01[[#This Row],[Start Month ("MMM") ANS]])),Rng_Lkp_AnswerStatus_Good,Rng_Lkp_AnswerStatus_Bad)),Rng_Lkp_AnswerStatus_Bad)</f>
        <v/>
      </c>
      <c r="K15" s="37" t="str">
        <f>TEXT(Tbl_B5_Help_01[[#This Row],[Member Start Date]],"MMM")</f>
        <v>Jan</v>
      </c>
      <c r="L15" s="78"/>
      <c r="M15" s="23" t="str">
        <f>IFERROR(IF(Tbl_B5_Help_01[[#This Row],[Start Day ("D")]]="","",IF(AND(_xlfn.ISFORMULA(Tbl_B5_Help_01[[#This Row],[Start Day ("D")]]),EXACT(Tbl_B5_Help_01[[#This Row],[Start Day ("D")]],Tbl_B5_Help_01[[#This Row],[Start Day ("D") ANS]])),Rng_Lkp_AnswerStatus_Good,Rng_Lkp_AnswerStatus_Bad)),Rng_Lkp_AnswerStatus_Bad)</f>
        <v/>
      </c>
      <c r="N15" s="37" t="str">
        <f>TEXT(Tbl_B5_Help_01[[#This Row],[Member Start Date]],"D")</f>
        <v>1</v>
      </c>
      <c r="O15" s="78"/>
      <c r="P15" s="23" t="str">
        <f>IFERROR(IF(Tbl_B5_Help_01[[#This Row],[Start Year ("YYYY")]]="","",IF(AND(_xlfn.ISFORMULA(Tbl_B5_Help_01[[#This Row],[Start Year ("YYYY")]]),EXACT(Tbl_B5_Help_01[[#This Row],[Start Year ("YYYY")]],Tbl_B5_Help_01[[#This Row],[Start Year ("YYYY") ANS]])),Rng_Lkp_AnswerStatus_Good,Rng_Lkp_AnswerStatus_Bad)),Rng_Lkp_AnswerStatus_Bad)</f>
        <v/>
      </c>
      <c r="Q15" s="37" t="str">
        <f>TEXT(Tbl_B5_Help_01[[#This Row],[Member Start Date]],"YYYY")</f>
        <v>2019</v>
      </c>
      <c r="R15" s="78"/>
      <c r="S15" s="23" t="str">
        <f>IFERROR(IF(Tbl_B5_Help_01[[#This Row],[Full Start Date ("DDD, MMM D, YYYY")]]="","",IF(AND(_xlfn.ISFORMULA(Tbl_B5_Help_01[[#This Row],[Full Start Date ("DDD, MMM D, YYYY")]]),EXACT(Tbl_B5_Help_01[[#This Row],[Full Start Date ("DDD, MMM D, YYYY")]],Tbl_B5_Help_01[[#This Row],[Full Start Date ("DDD, MMM D, YYYY") ANS]])),Rng_Lkp_AnswerStatus_Good,Rng_Lkp_AnswerStatus_Bad)),Rng_Lkp_AnswerStatus_Bad)</f>
        <v/>
      </c>
      <c r="T15" s="37" t="str">
        <f>TEXT(Tbl_B5_Help_01[[#This Row],[Member Start Date]],"DDD, MMM D, YYYY")</f>
        <v>Tue, Jan 1, 2019</v>
      </c>
      <c r="U15" s="78"/>
      <c r="V15" s="23" t="str">
        <f>IFERROR(IF(Tbl_B5_Help_01[[#This Row],[Full Start Date ("DDD, MMM D, YYYY") using Q1-4]]="","",IF(AND(_xlfn.ISFORMULA(Tbl_B5_Help_01[[#This Row],[Full Start Date ("DDD, MMM D, YYYY") using Q1-4]]),EXACT(Tbl_B5_Help_01[[#This Row],[Full Start Date ("DDD, MMM D, YYYY") using Q1-4]],Tbl_B5_Help_01[[#This Row],[Full Start Date ("DDD, MMM D, YYYY") using Q1-4 ANS]])),Rng_Lkp_AnswerStatus_Good,Rng_Lkp_AnswerStatus_Bad)),Rng_Lkp_AnswerStatus_Bad)</f>
        <v/>
      </c>
      <c r="W15" s="37" t="str">
        <f>_xlfn.CONCAT(Tbl_B5_Help_01[[#This Row],[Start Weekday ("DDD") ANS]],", ",Tbl_B5_Help_01[[#This Row],[Start Month ("MMM") ANS]]," ",Tbl_B5_Help_01[[#This Row],[Start Day ("D") ANS]],", ",Tbl_B5_Help_01[[#This Row],[Start Year ("YYYY") ANS]])</f>
        <v>Tue, Jan 1, 2019</v>
      </c>
      <c r="X15" s="29"/>
      <c r="Y15" s="23" t="str">
        <f>IFERROR(IF(Tbl_B5_Help_01[[#This Row],[9 Months After Member Start Date]]="","",IF(AND(_xlfn.ISFORMULA(Tbl_B5_Help_01[[#This Row],[9 Months After Member Start Date]]),EXACT(Tbl_B5_Help_01[[#This Row],[9 Months After Member Start Date]],Tbl_B5_Help_01[[#This Row],[9 Months After Member Start Date ANS]])),Rng_Lkp_AnswerStatus_Good,Rng_Lkp_AnswerStatus_Bad)),Rng_Lkp_AnswerStatus_Bad)</f>
        <v/>
      </c>
      <c r="Z15" s="30">
        <f>EDATE(Tbl_B5_Help_01[[#This Row],[Member Start Date]],9)</f>
        <v>43739</v>
      </c>
    </row>
    <row r="16" spans="1:26" x14ac:dyDescent="0.25">
      <c r="B16" s="11">
        <v>1066</v>
      </c>
      <c r="C16" s="11" t="s">
        <v>7</v>
      </c>
      <c r="D16" s="12" t="s">
        <v>39</v>
      </c>
      <c r="E16" s="12">
        <v>41568</v>
      </c>
      <c r="F16" s="78"/>
      <c r="G16" s="23" t="str">
        <f>IFERROR(IF(Tbl_B5_Help_01[[#This Row],[Start Weekday ("DDD")]]="","",IF(AND(_xlfn.ISFORMULA(Tbl_B5_Help_01[[#This Row],[Start Weekday ("DDD")]]),EXACT(Tbl_B5_Help_01[[#This Row],[Start Weekday ("DDD")]],Tbl_B5_Help_01[[#This Row],[Start Weekday ("DDD") ANS]])),Rng_Lkp_AnswerStatus_Good,Rng_Lkp_AnswerStatus_Bad)),Rng_Lkp_AnswerStatus_Bad)</f>
        <v/>
      </c>
      <c r="H16" s="37" t="str">
        <f>TEXT(Tbl_B5_Help_01[[#This Row],[Member Start Date]],"DDD")</f>
        <v>Mon</v>
      </c>
      <c r="I16" s="78"/>
      <c r="J16" s="23" t="str">
        <f>IFERROR(IF(Tbl_B5_Help_01[[#This Row],[Start Month ("MMM")]]="","",IF(AND(_xlfn.ISFORMULA(Tbl_B5_Help_01[[#This Row],[Start Month ("MMM")]]),EXACT(Tbl_B5_Help_01[[#This Row],[Start Month ("MMM")]],Tbl_B5_Help_01[[#This Row],[Start Month ("MMM") ANS]])),Rng_Lkp_AnswerStatus_Good,Rng_Lkp_AnswerStatus_Bad)),Rng_Lkp_AnswerStatus_Bad)</f>
        <v/>
      </c>
      <c r="K16" s="37" t="str">
        <f>TEXT(Tbl_B5_Help_01[[#This Row],[Member Start Date]],"MMM")</f>
        <v>Oct</v>
      </c>
      <c r="L16" s="78"/>
      <c r="M16" s="23" t="str">
        <f>IFERROR(IF(Tbl_B5_Help_01[[#This Row],[Start Day ("D")]]="","",IF(AND(_xlfn.ISFORMULA(Tbl_B5_Help_01[[#This Row],[Start Day ("D")]]),EXACT(Tbl_B5_Help_01[[#This Row],[Start Day ("D")]],Tbl_B5_Help_01[[#This Row],[Start Day ("D") ANS]])),Rng_Lkp_AnswerStatus_Good,Rng_Lkp_AnswerStatus_Bad)),Rng_Lkp_AnswerStatus_Bad)</f>
        <v/>
      </c>
      <c r="N16" s="37" t="str">
        <f>TEXT(Tbl_B5_Help_01[[#This Row],[Member Start Date]],"D")</f>
        <v>21</v>
      </c>
      <c r="O16" s="78"/>
      <c r="P16" s="23" t="str">
        <f>IFERROR(IF(Tbl_B5_Help_01[[#This Row],[Start Year ("YYYY")]]="","",IF(AND(_xlfn.ISFORMULA(Tbl_B5_Help_01[[#This Row],[Start Year ("YYYY")]]),EXACT(Tbl_B5_Help_01[[#This Row],[Start Year ("YYYY")]],Tbl_B5_Help_01[[#This Row],[Start Year ("YYYY") ANS]])),Rng_Lkp_AnswerStatus_Good,Rng_Lkp_AnswerStatus_Bad)),Rng_Lkp_AnswerStatus_Bad)</f>
        <v/>
      </c>
      <c r="Q16" s="37" t="str">
        <f>TEXT(Tbl_B5_Help_01[[#This Row],[Member Start Date]],"YYYY")</f>
        <v>2013</v>
      </c>
      <c r="R16" s="78"/>
      <c r="S16" s="23" t="str">
        <f>IFERROR(IF(Tbl_B5_Help_01[[#This Row],[Full Start Date ("DDD, MMM D, YYYY")]]="","",IF(AND(_xlfn.ISFORMULA(Tbl_B5_Help_01[[#This Row],[Full Start Date ("DDD, MMM D, YYYY")]]),EXACT(Tbl_B5_Help_01[[#This Row],[Full Start Date ("DDD, MMM D, YYYY")]],Tbl_B5_Help_01[[#This Row],[Full Start Date ("DDD, MMM D, YYYY") ANS]])),Rng_Lkp_AnswerStatus_Good,Rng_Lkp_AnswerStatus_Bad)),Rng_Lkp_AnswerStatus_Bad)</f>
        <v/>
      </c>
      <c r="T16" s="37" t="str">
        <f>TEXT(Tbl_B5_Help_01[[#This Row],[Member Start Date]],"DDD, MMM D, YYYY")</f>
        <v>Mon, Oct 21, 2013</v>
      </c>
      <c r="U16" s="78"/>
      <c r="V16" s="23" t="str">
        <f>IFERROR(IF(Tbl_B5_Help_01[[#This Row],[Full Start Date ("DDD, MMM D, YYYY") using Q1-4]]="","",IF(AND(_xlfn.ISFORMULA(Tbl_B5_Help_01[[#This Row],[Full Start Date ("DDD, MMM D, YYYY") using Q1-4]]),EXACT(Tbl_B5_Help_01[[#This Row],[Full Start Date ("DDD, MMM D, YYYY") using Q1-4]],Tbl_B5_Help_01[[#This Row],[Full Start Date ("DDD, MMM D, YYYY") using Q1-4 ANS]])),Rng_Lkp_AnswerStatus_Good,Rng_Lkp_AnswerStatus_Bad)),Rng_Lkp_AnswerStatus_Bad)</f>
        <v/>
      </c>
      <c r="W16" s="37" t="str">
        <f>_xlfn.CONCAT(Tbl_B5_Help_01[[#This Row],[Start Weekday ("DDD") ANS]],", ",Tbl_B5_Help_01[[#This Row],[Start Month ("MMM") ANS]]," ",Tbl_B5_Help_01[[#This Row],[Start Day ("D") ANS]],", ",Tbl_B5_Help_01[[#This Row],[Start Year ("YYYY") ANS]])</f>
        <v>Mon, Oct 21, 2013</v>
      </c>
      <c r="X16" s="29"/>
      <c r="Y16" s="23" t="str">
        <f>IFERROR(IF(Tbl_B5_Help_01[[#This Row],[9 Months After Member Start Date]]="","",IF(AND(_xlfn.ISFORMULA(Tbl_B5_Help_01[[#This Row],[9 Months After Member Start Date]]),EXACT(Tbl_B5_Help_01[[#This Row],[9 Months After Member Start Date]],Tbl_B5_Help_01[[#This Row],[9 Months After Member Start Date ANS]])),Rng_Lkp_AnswerStatus_Good,Rng_Lkp_AnswerStatus_Bad)),Rng_Lkp_AnswerStatus_Bad)</f>
        <v/>
      </c>
      <c r="Z16" s="30">
        <f>EDATE(Tbl_B5_Help_01[[#This Row],[Member Start Date]],9)</f>
        <v>41841</v>
      </c>
    </row>
    <row r="17" spans="2:26" x14ac:dyDescent="0.25">
      <c r="B17" s="11">
        <v>2316</v>
      </c>
      <c r="C17" s="11" t="s">
        <v>109</v>
      </c>
      <c r="D17" s="12" t="s">
        <v>40</v>
      </c>
      <c r="E17" s="12">
        <v>42898</v>
      </c>
      <c r="F17" s="78"/>
      <c r="G17" s="23" t="str">
        <f>IFERROR(IF(Tbl_B5_Help_01[[#This Row],[Start Weekday ("DDD")]]="","",IF(AND(_xlfn.ISFORMULA(Tbl_B5_Help_01[[#This Row],[Start Weekday ("DDD")]]),EXACT(Tbl_B5_Help_01[[#This Row],[Start Weekday ("DDD")]],Tbl_B5_Help_01[[#This Row],[Start Weekday ("DDD") ANS]])),Rng_Lkp_AnswerStatus_Good,Rng_Lkp_AnswerStatus_Bad)),Rng_Lkp_AnswerStatus_Bad)</f>
        <v/>
      </c>
      <c r="H17" s="37" t="str">
        <f>TEXT(Tbl_B5_Help_01[[#This Row],[Member Start Date]],"DDD")</f>
        <v>Mon</v>
      </c>
      <c r="I17" s="78"/>
      <c r="J17" s="23" t="str">
        <f>IFERROR(IF(Tbl_B5_Help_01[[#This Row],[Start Month ("MMM")]]="","",IF(AND(_xlfn.ISFORMULA(Tbl_B5_Help_01[[#This Row],[Start Month ("MMM")]]),EXACT(Tbl_B5_Help_01[[#This Row],[Start Month ("MMM")]],Tbl_B5_Help_01[[#This Row],[Start Month ("MMM") ANS]])),Rng_Lkp_AnswerStatus_Good,Rng_Lkp_AnswerStatus_Bad)),Rng_Lkp_AnswerStatus_Bad)</f>
        <v/>
      </c>
      <c r="K17" s="37" t="str">
        <f>TEXT(Tbl_B5_Help_01[[#This Row],[Member Start Date]],"MMM")</f>
        <v>Jun</v>
      </c>
      <c r="L17" s="78"/>
      <c r="M17" s="23" t="str">
        <f>IFERROR(IF(Tbl_B5_Help_01[[#This Row],[Start Day ("D")]]="","",IF(AND(_xlfn.ISFORMULA(Tbl_B5_Help_01[[#This Row],[Start Day ("D")]]),EXACT(Tbl_B5_Help_01[[#This Row],[Start Day ("D")]],Tbl_B5_Help_01[[#This Row],[Start Day ("D") ANS]])),Rng_Lkp_AnswerStatus_Good,Rng_Lkp_AnswerStatus_Bad)),Rng_Lkp_AnswerStatus_Bad)</f>
        <v/>
      </c>
      <c r="N17" s="37" t="str">
        <f>TEXT(Tbl_B5_Help_01[[#This Row],[Member Start Date]],"D")</f>
        <v>12</v>
      </c>
      <c r="O17" s="78"/>
      <c r="P17" s="23" t="str">
        <f>IFERROR(IF(Tbl_B5_Help_01[[#This Row],[Start Year ("YYYY")]]="","",IF(AND(_xlfn.ISFORMULA(Tbl_B5_Help_01[[#This Row],[Start Year ("YYYY")]]),EXACT(Tbl_B5_Help_01[[#This Row],[Start Year ("YYYY")]],Tbl_B5_Help_01[[#This Row],[Start Year ("YYYY") ANS]])),Rng_Lkp_AnswerStatus_Good,Rng_Lkp_AnswerStatus_Bad)),Rng_Lkp_AnswerStatus_Bad)</f>
        <v/>
      </c>
      <c r="Q17" s="37" t="str">
        <f>TEXT(Tbl_B5_Help_01[[#This Row],[Member Start Date]],"YYYY")</f>
        <v>2017</v>
      </c>
      <c r="R17" s="78"/>
      <c r="S17" s="23" t="str">
        <f>IFERROR(IF(Tbl_B5_Help_01[[#This Row],[Full Start Date ("DDD, MMM D, YYYY")]]="","",IF(AND(_xlfn.ISFORMULA(Tbl_B5_Help_01[[#This Row],[Full Start Date ("DDD, MMM D, YYYY")]]),EXACT(Tbl_B5_Help_01[[#This Row],[Full Start Date ("DDD, MMM D, YYYY")]],Tbl_B5_Help_01[[#This Row],[Full Start Date ("DDD, MMM D, YYYY") ANS]])),Rng_Lkp_AnswerStatus_Good,Rng_Lkp_AnswerStatus_Bad)),Rng_Lkp_AnswerStatus_Bad)</f>
        <v/>
      </c>
      <c r="T17" s="37" t="str">
        <f>TEXT(Tbl_B5_Help_01[[#This Row],[Member Start Date]],"DDD, MMM D, YYYY")</f>
        <v>Mon, Jun 12, 2017</v>
      </c>
      <c r="U17" s="78"/>
      <c r="V17" s="23" t="str">
        <f>IFERROR(IF(Tbl_B5_Help_01[[#This Row],[Full Start Date ("DDD, MMM D, YYYY") using Q1-4]]="","",IF(AND(_xlfn.ISFORMULA(Tbl_B5_Help_01[[#This Row],[Full Start Date ("DDD, MMM D, YYYY") using Q1-4]]),EXACT(Tbl_B5_Help_01[[#This Row],[Full Start Date ("DDD, MMM D, YYYY") using Q1-4]],Tbl_B5_Help_01[[#This Row],[Full Start Date ("DDD, MMM D, YYYY") using Q1-4 ANS]])),Rng_Lkp_AnswerStatus_Good,Rng_Lkp_AnswerStatus_Bad)),Rng_Lkp_AnswerStatus_Bad)</f>
        <v/>
      </c>
      <c r="W17" s="37" t="str">
        <f>_xlfn.CONCAT(Tbl_B5_Help_01[[#This Row],[Start Weekday ("DDD") ANS]],", ",Tbl_B5_Help_01[[#This Row],[Start Month ("MMM") ANS]]," ",Tbl_B5_Help_01[[#This Row],[Start Day ("D") ANS]],", ",Tbl_B5_Help_01[[#This Row],[Start Year ("YYYY") ANS]])</f>
        <v>Mon, Jun 12, 2017</v>
      </c>
      <c r="X17" s="29"/>
      <c r="Y17" s="23" t="str">
        <f>IFERROR(IF(Tbl_B5_Help_01[[#This Row],[9 Months After Member Start Date]]="","",IF(AND(_xlfn.ISFORMULA(Tbl_B5_Help_01[[#This Row],[9 Months After Member Start Date]]),EXACT(Tbl_B5_Help_01[[#This Row],[9 Months After Member Start Date]],Tbl_B5_Help_01[[#This Row],[9 Months After Member Start Date ANS]])),Rng_Lkp_AnswerStatus_Good,Rng_Lkp_AnswerStatus_Bad)),Rng_Lkp_AnswerStatus_Bad)</f>
        <v/>
      </c>
      <c r="Z17" s="30">
        <f>EDATE(Tbl_B5_Help_01[[#This Row],[Member Start Date]],9)</f>
        <v>43171</v>
      </c>
    </row>
  </sheetData>
  <conditionalFormatting sqref="B5:C6 G6 J6 M6 P6 S6 V6 Y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B8:Z17">
    <cfRule type="cellIs" dxfId="3" priority="2" operator="equal">
      <formula>Rng_Lkp_AnswerStatus_Bad</formula>
    </cfRule>
    <cfRule type="cellIs" dxfId="2" priority="3" operator="equal">
      <formula>Rng_Lkp_AnswerStatus_Good</formula>
    </cfRule>
  </conditionalFormatting>
  <pageMargins left="0.7" right="0.7" top="0.75" bottom="0.75" header="0.3" footer="0.3"/>
  <pageSetup paperSize="121" orientation="portrait" horizontalDpi="300" verticalDpi="300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B5ABF-4076-4620-936D-9442B09CC2EF}">
  <sheetPr>
    <tabColor theme="2" tint="-0.499984740745262"/>
  </sheetPr>
  <dimension ref="A1:V17"/>
  <sheetViews>
    <sheetView showGridLines="0" zoomScaleNormal="10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G8" sqref="G8"/>
    </sheetView>
  </sheetViews>
  <sheetFormatPr defaultColWidth="9.140625" defaultRowHeight="15" outlineLevelRow="1" outlineLevelCol="1" x14ac:dyDescent="0.25"/>
  <cols>
    <col min="1" max="1" width="2.5703125" style="10" customWidth="1"/>
    <col min="2" max="2" width="8.140625" style="10" bestFit="1" customWidth="1"/>
    <col min="3" max="3" width="13.85546875" style="10" bestFit="1" customWidth="1"/>
    <col min="4" max="4" width="5.5703125" style="10" bestFit="1" customWidth="1"/>
    <col min="5" max="5" width="9.28515625" style="10" customWidth="1"/>
    <col min="6" max="6" width="8.7109375" style="10" bestFit="1" customWidth="1"/>
    <col min="7" max="7" width="45" style="10" bestFit="1" customWidth="1"/>
    <col min="8" max="8" width="8.42578125" style="10" bestFit="1" customWidth="1"/>
    <col min="9" max="9" width="49" style="10" hidden="1" customWidth="1" outlineLevel="1"/>
    <col min="10" max="10" width="12.140625" style="10" bestFit="1" customWidth="1" collapsed="1"/>
    <col min="11" max="11" width="8.140625" style="10" bestFit="1" customWidth="1"/>
    <col min="12" max="12" width="12.28515625" style="10" hidden="1" customWidth="1" outlineLevel="1"/>
    <col min="13" max="13" width="6.28515625" style="10" bestFit="1" customWidth="1" collapsed="1"/>
    <col min="14" max="14" width="8.140625" style="10" bestFit="1" customWidth="1"/>
    <col min="15" max="15" width="8.85546875" style="10" hidden="1" customWidth="1" outlineLevel="1"/>
    <col min="16" max="16" width="9.5703125" style="10" customWidth="1" collapsed="1"/>
    <col min="17" max="17" width="8.140625" style="10" bestFit="1" customWidth="1"/>
    <col min="18" max="18" width="10.85546875" style="10" hidden="1" customWidth="1" outlineLevel="1"/>
    <col min="19" max="19" width="48.28515625" style="10" bestFit="1" customWidth="1" collapsed="1"/>
    <col min="20" max="20" width="9.140625" style="10"/>
    <col min="21" max="21" width="48.28515625" style="10" hidden="1" customWidth="1" outlineLevel="1"/>
    <col min="22" max="22" width="9.140625" style="10" collapsed="1"/>
    <col min="23" max="16384" width="9.140625" style="10"/>
  </cols>
  <sheetData>
    <row r="1" spans="1:21" s="8" customFormat="1" ht="21" x14ac:dyDescent="0.35">
      <c r="A1" s="87"/>
      <c r="B1" s="4"/>
      <c r="C1" s="4"/>
      <c r="G1" s="92" t="s">
        <v>139</v>
      </c>
      <c r="I1" s="94"/>
    </row>
    <row r="2" spans="1:21" s="8" customFormat="1" ht="18.75" x14ac:dyDescent="0.3">
      <c r="A2" s="88"/>
      <c r="B2" s="9"/>
      <c r="C2" s="9"/>
      <c r="G2" s="93" t="s">
        <v>126</v>
      </c>
    </row>
    <row r="3" spans="1:21" ht="6.95" customHeight="1" x14ac:dyDescent="0.25"/>
    <row r="4" spans="1:21" x14ac:dyDescent="0.25">
      <c r="F4" s="13" t="s">
        <v>102</v>
      </c>
      <c r="G4" s="26">
        <v>1</v>
      </c>
      <c r="H4" s="81"/>
      <c r="I4" s="81"/>
      <c r="J4" s="26">
        <v>2</v>
      </c>
      <c r="K4" s="81"/>
      <c r="L4" s="81"/>
      <c r="M4" s="26">
        <v>3</v>
      </c>
      <c r="N4" s="81"/>
      <c r="O4" s="81"/>
      <c r="P4" s="26">
        <v>4</v>
      </c>
      <c r="Q4" s="81"/>
      <c r="R4" s="81"/>
      <c r="S4" s="26">
        <v>5</v>
      </c>
      <c r="T4" s="81"/>
      <c r="U4" s="81"/>
    </row>
    <row r="5" spans="1:21" hidden="1" outlineLevel="1" x14ac:dyDescent="0.25">
      <c r="B5" s="34" t="str">
        <f>IFERROR(IF(SUMIFS(G5:U5,G4:U4,"&gt;=0")=0,"",SUMIFS(G5:U5,G4:U4,"&gt;=0")/SUMIFS(G5:U5,G6:U6,"ANSWER")),"")</f>
        <v/>
      </c>
      <c r="C5" s="86" t="s">
        <v>28</v>
      </c>
      <c r="G5" s="32">
        <f>IFERROR(COUNTA(Tbl_BONUS_ComplexFormulas_01[Single Formula - If Member started before 12/1/13, show "Too early". Otherwise, if State starts with the letter "N", show double the Member Dues. Otherwise, show Memer Dues.]),"")</f>
        <v>0</v>
      </c>
      <c r="H5" s="33">
        <f>IFERROR(COUNTIF(Tbl_BONUS_ComplexFormulas_01[Answer Status Q01],Rng_Lkp_AnswerStatus_Good),"")</f>
        <v>0</v>
      </c>
      <c r="I5" s="33">
        <f>IFERROR(COUNTA(Tbl_BONUS_ComplexFormulas_01[Single Formula - If Member started before 12/1/13, show "Too early". Otherwise, if State starts with the letter "N", show double the Member Dues. Otherwise, show Memer Dues. ANS]),"")</f>
        <v>10</v>
      </c>
      <c r="J5" s="32">
        <f>IFERROR(COUNTA(Tbl_BONUS_ComplexFormulas_01[Did Member start before 12/1/13 (T/F)]),"")</f>
        <v>0</v>
      </c>
      <c r="K5" s="33">
        <f>IFERROR(COUNTIF(Tbl_BONUS_ComplexFormulas_01[Answer Status Q02],Rng_Lkp_AnswerStatus_Good),"")</f>
        <v>0</v>
      </c>
      <c r="L5" s="33">
        <f>IFERROR(COUNTA(Tbl_BONUS_ComplexFormulas_01[Did Member start before 12/1/13 (T/F) ANS]),"")</f>
        <v>10</v>
      </c>
      <c r="M5" s="32">
        <f>IFERROR(COUNTA(Tbl_BONUS_ComplexFormulas_01[First Letter of State]),"")</f>
        <v>0</v>
      </c>
      <c r="N5" s="33">
        <f>IFERROR(COUNTIF(Tbl_BONUS_ComplexFormulas_01[Answer Status Q03],Rng_Lkp_AnswerStatus_Good),"")</f>
        <v>0</v>
      </c>
      <c r="O5" s="33">
        <f>IFERROR(COUNTA(Tbl_BONUS_ComplexFormulas_01[First Letter of State ANS]),"")</f>
        <v>10</v>
      </c>
      <c r="P5" s="32">
        <f>IFERROR(COUNTA(Tbl_BONUS_ComplexFormulas_01[Does State Start with "N" (T/F)]),"")</f>
        <v>0</v>
      </c>
      <c r="Q5" s="33">
        <f>IFERROR(COUNTIF(Tbl_BONUS_ComplexFormulas_01[Answer Status Q04],Rng_Lkp_AnswerStatus_Good),"")</f>
        <v>0</v>
      </c>
      <c r="R5" s="33">
        <f>IFERROR(COUNTA(Tbl_BONUS_ComplexFormulas_01[Does State Start with "N" (T/F) ANS]),"")</f>
        <v>10</v>
      </c>
      <c r="S5" s="32">
        <f>IFERROR(COUNTA(Tbl_BONUS_ComplexFormulas_01[Using Helper Columns - If Member started before 12/1/13, show "Too early". Otherwise, if State starts with the letter "N", show double the Member Dues. Otherwise, show Memer Dues.]),"")</f>
        <v>0</v>
      </c>
      <c r="T5" s="33">
        <f>IFERROR(COUNTIF(Tbl_BONUS_ComplexFormulas_01[Answer Status Q05],Rng_Lkp_AnswerStatus_Good),"")</f>
        <v>0</v>
      </c>
      <c r="U5" s="33">
        <f>IFERROR(COUNTA(Tbl_BONUS_ComplexFormulas_01[Using Helper Columns - If Member started before 12/1/13, show "Too early". Otherwise, if State starts with the letter "N", show double the Member Dues. Otherwise, show Memer Dues. ANS]),"")</f>
        <v>10</v>
      </c>
    </row>
    <row r="6" spans="1:21" collapsed="1" x14ac:dyDescent="0.25">
      <c r="B6" s="34" t="str">
        <f>IFERROR(IF(SUMIFS(G5:U5,G4:U4,"&gt;=0")=0,"",SUMIFS(G5:U5,G6:U6,"&gt;=0", G6:U6,"&lt;=1")/SUMIFS(G5:U5,G4:U4,"&gt;0")),"")</f>
        <v/>
      </c>
      <c r="C6" s="86" t="s">
        <v>29</v>
      </c>
      <c r="G6" s="95">
        <v>41609</v>
      </c>
      <c r="H6" s="24" t="str">
        <f>IFERROR(H5/G5,"")</f>
        <v/>
      </c>
      <c r="I6" s="27" t="s">
        <v>11</v>
      </c>
      <c r="J6" s="101">
        <v>41609</v>
      </c>
      <c r="K6" s="24" t="str">
        <f>IFERROR(K5/J5,"")</f>
        <v/>
      </c>
      <c r="L6" s="45" t="s">
        <v>11</v>
      </c>
      <c r="M6" s="26" t="s">
        <v>142</v>
      </c>
      <c r="N6" s="24" t="str">
        <f>IFERROR(N5/M5,"")</f>
        <v/>
      </c>
      <c r="O6" s="27" t="s">
        <v>11</v>
      </c>
      <c r="P6" s="69" t="s">
        <v>83</v>
      </c>
      <c r="Q6" s="24" t="str">
        <f>IFERROR(Q5/P5,"")</f>
        <v/>
      </c>
      <c r="R6" s="45" t="s">
        <v>11</v>
      </c>
      <c r="S6" s="95">
        <v>41609</v>
      </c>
      <c r="T6" s="24" t="str">
        <f>IFERROR(T5/S5,"")</f>
        <v/>
      </c>
      <c r="U6" s="27" t="s">
        <v>11</v>
      </c>
    </row>
    <row r="7" spans="1:21" ht="60" x14ac:dyDescent="0.25">
      <c r="B7" s="17" t="s">
        <v>2</v>
      </c>
      <c r="C7" s="17" t="s">
        <v>3</v>
      </c>
      <c r="D7" s="17" t="s">
        <v>33</v>
      </c>
      <c r="E7" s="41" t="s">
        <v>103</v>
      </c>
      <c r="F7" s="38" t="s">
        <v>140</v>
      </c>
      <c r="G7" s="25" t="s">
        <v>145</v>
      </c>
      <c r="H7" s="22" t="s">
        <v>18</v>
      </c>
      <c r="I7" s="28" t="s">
        <v>146</v>
      </c>
      <c r="J7" s="43" t="s">
        <v>143</v>
      </c>
      <c r="K7" s="22" t="s">
        <v>19</v>
      </c>
      <c r="L7" s="44" t="s">
        <v>148</v>
      </c>
      <c r="M7" s="25" t="s">
        <v>141</v>
      </c>
      <c r="N7" s="22" t="s">
        <v>20</v>
      </c>
      <c r="O7" s="28" t="s">
        <v>149</v>
      </c>
      <c r="P7" s="43" t="s">
        <v>144</v>
      </c>
      <c r="Q7" s="22" t="s">
        <v>26</v>
      </c>
      <c r="R7" s="44" t="s">
        <v>150</v>
      </c>
      <c r="S7" s="72" t="s">
        <v>147</v>
      </c>
      <c r="T7" s="40" t="s">
        <v>31</v>
      </c>
      <c r="U7" s="74" t="s">
        <v>151</v>
      </c>
    </row>
    <row r="8" spans="1:21" x14ac:dyDescent="0.25">
      <c r="B8" s="11">
        <v>4405</v>
      </c>
      <c r="C8" s="11" t="s">
        <v>108</v>
      </c>
      <c r="D8" s="12" t="s">
        <v>34</v>
      </c>
      <c r="E8" s="12">
        <v>43466</v>
      </c>
      <c r="F8" s="76">
        <v>1000</v>
      </c>
      <c r="G8" s="96"/>
      <c r="H8" s="23" t="str">
        <f>IFERROR(IF(Tbl_BONUS_ComplexFormulas_01[[#This Row],[Single Formula - If Member started before 12/1/13, show "Too early". Otherwise, if State starts with the letter "N", show double the Member Dues. Otherwise, show Memer Dues.]]="","",IF(AND(_xlfn.ISFORMULA(Tbl_BONUS_ComplexFormulas_01[[#This Row],[Single Formula - If Member started before 12/1/13, show "Too early". Otherwise, if State starts with the letter "N", show double the Member Dues. Otherwise, show Memer Dues.]]),EXACT(Tbl_BONUS_ComplexFormulas_01[[#This Row],[Single Formula - If Member started before 12/1/13, show "Too early". Otherwise, if State starts with the letter "N", show double the Member Dues. Otherwise, show Memer Dues.]],Tbl_BONUS_ComplexFormulas_01[[#This Row],[Single Formula - If Member started before 12/1/13, show "Too early". Otherwise, if State starts with the letter "N", show double the Member Dues. Otherwise, show Memer Dues. ANS]])),Rng_Lkp_AnswerStatus_Good,Rng_Lkp_AnswerStatus_Bad)),Rng_Lkp_AnswerStatus_Bad)</f>
        <v/>
      </c>
      <c r="I8" s="98">
        <f>IF(Tbl_BONUS_ComplexFormulas_01[[#This Row],[Member Start Date]]&lt;$G$6,"Too early",IF(LEFT(Tbl_BONUS_ComplexFormulas_01[[#This Row],[State]],1)="N",Tbl_BONUS_ComplexFormulas_01[[#This Row],[Member Dues]]*2,Tbl_BONUS_ComplexFormulas_01[[#This Row],[Member Dues]]))</f>
        <v>2000</v>
      </c>
      <c r="J8" s="99"/>
      <c r="K8" s="23" t="str">
        <f>IFERROR(IF(Tbl_BONUS_ComplexFormulas_01[[#This Row],[Did Member start before 12/1/13 (T/F)]]="","",IF(AND(_xlfn.ISFORMULA(Tbl_BONUS_ComplexFormulas_01[[#This Row],[Did Member start before 12/1/13 (T/F)]]),EXACT(Tbl_BONUS_ComplexFormulas_01[[#This Row],[Did Member start before 12/1/13 (T/F)]],Tbl_BONUS_ComplexFormulas_01[[#This Row],[Did Member start before 12/1/13 (T/F) ANS]])),Rng_Lkp_AnswerStatus_Good,Rng_Lkp_AnswerStatus_Bad)),Rng_Lkp_AnswerStatus_Bad)</f>
        <v/>
      </c>
      <c r="L8" s="102" t="b">
        <f>Tbl_BONUS_ComplexFormulas_01[[#This Row],[Member Start Date]]&lt;$J$6</f>
        <v>0</v>
      </c>
      <c r="M8" s="78"/>
      <c r="N8" s="23" t="str">
        <f>IFERROR(IF(Tbl_BONUS_ComplexFormulas_01[[#This Row],[First Letter of State]]="","",IF(AND(_xlfn.ISFORMULA(Tbl_BONUS_ComplexFormulas_01[[#This Row],[First Letter of State]]),EXACT(Tbl_BONUS_ComplexFormulas_01[[#This Row],[First Letter of State]],Tbl_BONUS_ComplexFormulas_01[[#This Row],[First Letter of State ANS]])),Rng_Lkp_AnswerStatus_Good,Rng_Lkp_AnswerStatus_Bad)),Rng_Lkp_AnswerStatus_Bad)</f>
        <v/>
      </c>
      <c r="O8" s="37" t="str">
        <f>LEFT(Tbl_BONUS_ComplexFormulas_01[[#This Row],[State]],1)</f>
        <v>N</v>
      </c>
      <c r="P8" s="100"/>
      <c r="Q8" s="23" t="str">
        <f>IFERROR(IF(Tbl_BONUS_ComplexFormulas_01[[#This Row],[Does State Start with "N" (T/F)]]="","",IF(AND(_xlfn.ISFORMULA(Tbl_BONUS_ComplexFormulas_01[[#This Row],[Does State Start with "N" (T/F)]]),EXACT(Tbl_BONUS_ComplexFormulas_01[[#This Row],[Does State Start with "N" (T/F)]],Tbl_BONUS_ComplexFormulas_01[[#This Row],[Does State Start with "N" (T/F) ANS]])),Rng_Lkp_AnswerStatus_Good,Rng_Lkp_AnswerStatus_Bad)),Rng_Lkp_AnswerStatus_Bad)</f>
        <v/>
      </c>
      <c r="R8" s="102" t="b">
        <f>Tbl_BONUS_ComplexFormulas_01[[#This Row],[First Letter of State]]="N"</f>
        <v>0</v>
      </c>
      <c r="S8" s="97"/>
      <c r="T8" s="23" t="str">
        <f>IFERROR(IF(Tbl_BONUS_ComplexFormulas_01[[#This Row],[Using Helper Columns - If Member started before 12/1/13, show "Too early". Otherwise, if State starts with the letter "N", show double the Member Dues. Otherwise, show Memer Dues.]]="","",IF(AND(_xlfn.ISFORMULA(Tbl_BONUS_ComplexFormulas_01[[#This Row],[Using Helper Columns - If Member started before 12/1/13, show "Too early". Otherwise, if State starts with the letter "N", show double the Member Dues. Otherwise, show Memer Dues.]]),EXACT(Tbl_BONUS_ComplexFormulas_01[[#This Row],[Using Helper Columns - If Member started before 12/1/13, show "Too early". Otherwise, if State starts with the letter "N", show double the Member Dues. Otherwise, show Memer Dues.]],Tbl_BONUS_ComplexFormulas_01[[#This Row],[Using Helper Columns - If Member started before 12/1/13, show "Too early". Otherwise, if State starts with the letter "N", show double the Member Dues. Otherwise, show Memer Dues. ANS]])),Rng_Lkp_AnswerStatus_Good,Rng_Lkp_AnswerStatus_Bad)),Rng_Lkp_AnswerStatus_Bad)</f>
        <v/>
      </c>
      <c r="U8" s="98">
        <f>IF(Tbl_BONUS_ComplexFormulas_01[[#This Row],[Did Member start before 12/1/13 (T/F)]],"Too early",IF(Tbl_BONUS_ComplexFormulas_01[[#This Row],[Does State Start with "N" (T/F)]],Tbl_BONUS_ComplexFormulas_01[[#This Row],[Member Dues]]*2,Tbl_BONUS_ComplexFormulas_01[[#This Row],[Member Dues]]))</f>
        <v>1000</v>
      </c>
    </row>
    <row r="9" spans="1:21" x14ac:dyDescent="0.25">
      <c r="B9" s="11">
        <v>1030</v>
      </c>
      <c r="C9" s="11" t="s">
        <v>4</v>
      </c>
      <c r="D9" s="12" t="s">
        <v>35</v>
      </c>
      <c r="E9" s="12">
        <v>41239</v>
      </c>
      <c r="F9" s="76">
        <v>750</v>
      </c>
      <c r="G9" s="97"/>
      <c r="H9" s="23" t="str">
        <f>IFERROR(IF(Tbl_BONUS_ComplexFormulas_01[[#This Row],[Single Formula - If Member started before 12/1/13, show "Too early". Otherwise, if State starts with the letter "N", show double the Member Dues. Otherwise, show Memer Dues.]]="","",IF(AND(_xlfn.ISFORMULA(Tbl_BONUS_ComplexFormulas_01[[#This Row],[Single Formula - If Member started before 12/1/13, show "Too early". Otherwise, if State starts with the letter "N", show double the Member Dues. Otherwise, show Memer Dues.]]),EXACT(Tbl_BONUS_ComplexFormulas_01[[#This Row],[Single Formula - If Member started before 12/1/13, show "Too early". Otherwise, if State starts with the letter "N", show double the Member Dues. Otherwise, show Memer Dues.]],Tbl_BONUS_ComplexFormulas_01[[#This Row],[Single Formula - If Member started before 12/1/13, show "Too early". Otherwise, if State starts with the letter "N", show double the Member Dues. Otherwise, show Memer Dues. ANS]])),Rng_Lkp_AnswerStatus_Good,Rng_Lkp_AnswerStatus_Bad)),Rng_Lkp_AnswerStatus_Bad)</f>
        <v/>
      </c>
      <c r="I9" s="98" t="str">
        <f>IF(Tbl_BONUS_ComplexFormulas_01[[#This Row],[Member Start Date]]&lt;$G$6,"Too early",IF(LEFT(Tbl_BONUS_ComplexFormulas_01[[#This Row],[State]],1)="N",Tbl_BONUS_ComplexFormulas_01[[#This Row],[Member Dues]]*2,Tbl_BONUS_ComplexFormulas_01[[#This Row],[Member Dues]]))</f>
        <v>Too early</v>
      </c>
      <c r="J9" s="100"/>
      <c r="K9" s="23" t="str">
        <f>IFERROR(IF(Tbl_BONUS_ComplexFormulas_01[[#This Row],[Did Member start before 12/1/13 (T/F)]]="","",IF(AND(_xlfn.ISFORMULA(Tbl_BONUS_ComplexFormulas_01[[#This Row],[Did Member start before 12/1/13 (T/F)]]),EXACT(Tbl_BONUS_ComplexFormulas_01[[#This Row],[Did Member start before 12/1/13 (T/F)]],Tbl_BONUS_ComplexFormulas_01[[#This Row],[Did Member start before 12/1/13 (T/F) ANS]])),Rng_Lkp_AnswerStatus_Good,Rng_Lkp_AnswerStatus_Bad)),Rng_Lkp_AnswerStatus_Bad)</f>
        <v/>
      </c>
      <c r="L9" s="102" t="b">
        <f>Tbl_BONUS_ComplexFormulas_01[[#This Row],[Member Start Date]]&lt;$J$6</f>
        <v>1</v>
      </c>
      <c r="M9" s="78"/>
      <c r="N9" s="23" t="str">
        <f>IFERROR(IF(Tbl_BONUS_ComplexFormulas_01[[#This Row],[First Letter of State]]="","",IF(AND(_xlfn.ISFORMULA(Tbl_BONUS_ComplexFormulas_01[[#This Row],[First Letter of State]]),EXACT(Tbl_BONUS_ComplexFormulas_01[[#This Row],[First Letter of State]],Tbl_BONUS_ComplexFormulas_01[[#This Row],[First Letter of State ANS]])),Rng_Lkp_AnswerStatus_Good,Rng_Lkp_AnswerStatus_Bad)),Rng_Lkp_AnswerStatus_Bad)</f>
        <v/>
      </c>
      <c r="O9" s="37" t="str">
        <f>LEFT(Tbl_BONUS_ComplexFormulas_01[[#This Row],[State]],1)</f>
        <v>C</v>
      </c>
      <c r="P9" s="100"/>
      <c r="Q9" s="23" t="str">
        <f>IFERROR(IF(Tbl_BONUS_ComplexFormulas_01[[#This Row],[Does State Start with "N" (T/F)]]="","",IF(AND(_xlfn.ISFORMULA(Tbl_BONUS_ComplexFormulas_01[[#This Row],[Does State Start with "N" (T/F)]]),EXACT(Tbl_BONUS_ComplexFormulas_01[[#This Row],[Does State Start with "N" (T/F)]],Tbl_BONUS_ComplexFormulas_01[[#This Row],[Does State Start with "N" (T/F) ANS]])),Rng_Lkp_AnswerStatus_Good,Rng_Lkp_AnswerStatus_Bad)),Rng_Lkp_AnswerStatus_Bad)</f>
        <v/>
      </c>
      <c r="R9" s="102" t="b">
        <f>Tbl_BONUS_ComplexFormulas_01[[#This Row],[First Letter of State]]="N"</f>
        <v>0</v>
      </c>
      <c r="S9" s="97"/>
      <c r="T9" s="23" t="str">
        <f>IFERROR(IF(Tbl_BONUS_ComplexFormulas_01[[#This Row],[Using Helper Columns - If Member started before 12/1/13, show "Too early". Otherwise, if State starts with the letter "N", show double the Member Dues. Otherwise, show Memer Dues.]]="","",IF(AND(_xlfn.ISFORMULA(Tbl_BONUS_ComplexFormulas_01[[#This Row],[Using Helper Columns - If Member started before 12/1/13, show "Too early". Otherwise, if State starts with the letter "N", show double the Member Dues. Otherwise, show Memer Dues.]]),EXACT(Tbl_BONUS_ComplexFormulas_01[[#This Row],[Using Helper Columns - If Member started before 12/1/13, show "Too early". Otherwise, if State starts with the letter "N", show double the Member Dues. Otherwise, show Memer Dues.]],Tbl_BONUS_ComplexFormulas_01[[#This Row],[Using Helper Columns - If Member started before 12/1/13, show "Too early". Otherwise, if State starts with the letter "N", show double the Member Dues. Otherwise, show Memer Dues. ANS]])),Rng_Lkp_AnswerStatus_Good,Rng_Lkp_AnswerStatus_Bad)),Rng_Lkp_AnswerStatus_Bad)</f>
        <v/>
      </c>
      <c r="U9" s="98">
        <f>IF(Tbl_BONUS_ComplexFormulas_01[[#This Row],[Did Member start before 12/1/13 (T/F)]],"Too early",IF(Tbl_BONUS_ComplexFormulas_01[[#This Row],[Does State Start with "N" (T/F)]],Tbl_BONUS_ComplexFormulas_01[[#This Row],[Member Dues]]*2,Tbl_BONUS_ComplexFormulas_01[[#This Row],[Member Dues]]))</f>
        <v>750</v>
      </c>
    </row>
    <row r="10" spans="1:21" x14ac:dyDescent="0.25">
      <c r="B10" s="11">
        <v>1603</v>
      </c>
      <c r="C10" s="11" t="s">
        <v>107</v>
      </c>
      <c r="D10" s="12" t="s">
        <v>34</v>
      </c>
      <c r="E10" s="12">
        <v>41269</v>
      </c>
      <c r="F10" s="76">
        <v>750</v>
      </c>
      <c r="G10" s="97"/>
      <c r="H10" s="23" t="str">
        <f>IFERROR(IF(Tbl_BONUS_ComplexFormulas_01[[#This Row],[Single Formula - If Member started before 12/1/13, show "Too early". Otherwise, if State starts with the letter "N", show double the Member Dues. Otherwise, show Memer Dues.]]="","",IF(AND(_xlfn.ISFORMULA(Tbl_BONUS_ComplexFormulas_01[[#This Row],[Single Formula - If Member started before 12/1/13, show "Too early". Otherwise, if State starts with the letter "N", show double the Member Dues. Otherwise, show Memer Dues.]]),EXACT(Tbl_BONUS_ComplexFormulas_01[[#This Row],[Single Formula - If Member started before 12/1/13, show "Too early". Otherwise, if State starts with the letter "N", show double the Member Dues. Otherwise, show Memer Dues.]],Tbl_BONUS_ComplexFormulas_01[[#This Row],[Single Formula - If Member started before 12/1/13, show "Too early". Otherwise, if State starts with the letter "N", show double the Member Dues. Otherwise, show Memer Dues. ANS]])),Rng_Lkp_AnswerStatus_Good,Rng_Lkp_AnswerStatus_Bad)),Rng_Lkp_AnswerStatus_Bad)</f>
        <v/>
      </c>
      <c r="I10" s="98" t="str">
        <f>IF(Tbl_BONUS_ComplexFormulas_01[[#This Row],[Member Start Date]]&lt;$G$6,"Too early",IF(LEFT(Tbl_BONUS_ComplexFormulas_01[[#This Row],[State]],1)="N",Tbl_BONUS_ComplexFormulas_01[[#This Row],[Member Dues]]*2,Tbl_BONUS_ComplexFormulas_01[[#This Row],[Member Dues]]))</f>
        <v>Too early</v>
      </c>
      <c r="J10" s="100"/>
      <c r="K10" s="23" t="str">
        <f>IFERROR(IF(Tbl_BONUS_ComplexFormulas_01[[#This Row],[Did Member start before 12/1/13 (T/F)]]="","",IF(AND(_xlfn.ISFORMULA(Tbl_BONUS_ComplexFormulas_01[[#This Row],[Did Member start before 12/1/13 (T/F)]]),EXACT(Tbl_BONUS_ComplexFormulas_01[[#This Row],[Did Member start before 12/1/13 (T/F)]],Tbl_BONUS_ComplexFormulas_01[[#This Row],[Did Member start before 12/1/13 (T/F) ANS]])),Rng_Lkp_AnswerStatus_Good,Rng_Lkp_AnswerStatus_Bad)),Rng_Lkp_AnswerStatus_Bad)</f>
        <v/>
      </c>
      <c r="L10" s="102" t="b">
        <f>Tbl_BONUS_ComplexFormulas_01[[#This Row],[Member Start Date]]&lt;$J$6</f>
        <v>1</v>
      </c>
      <c r="M10" s="78"/>
      <c r="N10" s="23" t="str">
        <f>IFERROR(IF(Tbl_BONUS_ComplexFormulas_01[[#This Row],[First Letter of State]]="","",IF(AND(_xlfn.ISFORMULA(Tbl_BONUS_ComplexFormulas_01[[#This Row],[First Letter of State]]),EXACT(Tbl_BONUS_ComplexFormulas_01[[#This Row],[First Letter of State]],Tbl_BONUS_ComplexFormulas_01[[#This Row],[First Letter of State ANS]])),Rng_Lkp_AnswerStatus_Good,Rng_Lkp_AnswerStatus_Bad)),Rng_Lkp_AnswerStatus_Bad)</f>
        <v/>
      </c>
      <c r="O10" s="37" t="str">
        <f>LEFT(Tbl_BONUS_ComplexFormulas_01[[#This Row],[State]],1)</f>
        <v>N</v>
      </c>
      <c r="P10" s="100"/>
      <c r="Q10" s="23" t="str">
        <f>IFERROR(IF(Tbl_BONUS_ComplexFormulas_01[[#This Row],[Does State Start with "N" (T/F)]]="","",IF(AND(_xlfn.ISFORMULA(Tbl_BONUS_ComplexFormulas_01[[#This Row],[Does State Start with "N" (T/F)]]),EXACT(Tbl_BONUS_ComplexFormulas_01[[#This Row],[Does State Start with "N" (T/F)]],Tbl_BONUS_ComplexFormulas_01[[#This Row],[Does State Start with "N" (T/F) ANS]])),Rng_Lkp_AnswerStatus_Good,Rng_Lkp_AnswerStatus_Bad)),Rng_Lkp_AnswerStatus_Bad)</f>
        <v/>
      </c>
      <c r="R10" s="102" t="b">
        <f>Tbl_BONUS_ComplexFormulas_01[[#This Row],[First Letter of State]]="N"</f>
        <v>0</v>
      </c>
      <c r="S10" s="97"/>
      <c r="T10" s="23" t="str">
        <f>IFERROR(IF(Tbl_BONUS_ComplexFormulas_01[[#This Row],[Using Helper Columns - If Member started before 12/1/13, show "Too early". Otherwise, if State starts with the letter "N", show double the Member Dues. Otherwise, show Memer Dues.]]="","",IF(AND(_xlfn.ISFORMULA(Tbl_BONUS_ComplexFormulas_01[[#This Row],[Using Helper Columns - If Member started before 12/1/13, show "Too early". Otherwise, if State starts with the letter "N", show double the Member Dues. Otherwise, show Memer Dues.]]),EXACT(Tbl_BONUS_ComplexFormulas_01[[#This Row],[Using Helper Columns - If Member started before 12/1/13, show "Too early". Otherwise, if State starts with the letter "N", show double the Member Dues. Otherwise, show Memer Dues.]],Tbl_BONUS_ComplexFormulas_01[[#This Row],[Using Helper Columns - If Member started before 12/1/13, show "Too early". Otherwise, if State starts with the letter "N", show double the Member Dues. Otherwise, show Memer Dues. ANS]])),Rng_Lkp_AnswerStatus_Good,Rng_Lkp_AnswerStatus_Bad)),Rng_Lkp_AnswerStatus_Bad)</f>
        <v/>
      </c>
      <c r="U10" s="98">
        <f>IF(Tbl_BONUS_ComplexFormulas_01[[#This Row],[Did Member start before 12/1/13 (T/F)]],"Too early",IF(Tbl_BONUS_ComplexFormulas_01[[#This Row],[Does State Start with "N" (T/F)]],Tbl_BONUS_ComplexFormulas_01[[#This Row],[Member Dues]]*2,Tbl_BONUS_ComplexFormulas_01[[#This Row],[Member Dues]]))</f>
        <v>750</v>
      </c>
    </row>
    <row r="11" spans="1:21" x14ac:dyDescent="0.25">
      <c r="B11" s="11">
        <v>4298</v>
      </c>
      <c r="C11" s="11" t="s">
        <v>5</v>
      </c>
      <c r="D11" s="12" t="s">
        <v>37</v>
      </c>
      <c r="E11" s="12">
        <v>42895</v>
      </c>
      <c r="F11" s="76">
        <v>1400</v>
      </c>
      <c r="G11" s="97"/>
      <c r="H11" s="23" t="str">
        <f>IFERROR(IF(Tbl_BONUS_ComplexFormulas_01[[#This Row],[Single Formula - If Member started before 12/1/13, show "Too early". Otherwise, if State starts with the letter "N", show double the Member Dues. Otherwise, show Memer Dues.]]="","",IF(AND(_xlfn.ISFORMULA(Tbl_BONUS_ComplexFormulas_01[[#This Row],[Single Formula - If Member started before 12/1/13, show "Too early". Otherwise, if State starts with the letter "N", show double the Member Dues. Otherwise, show Memer Dues.]]),EXACT(Tbl_BONUS_ComplexFormulas_01[[#This Row],[Single Formula - If Member started before 12/1/13, show "Too early". Otherwise, if State starts with the letter "N", show double the Member Dues. Otherwise, show Memer Dues.]],Tbl_BONUS_ComplexFormulas_01[[#This Row],[Single Formula - If Member started before 12/1/13, show "Too early". Otherwise, if State starts with the letter "N", show double the Member Dues. Otherwise, show Memer Dues. ANS]])),Rng_Lkp_AnswerStatus_Good,Rng_Lkp_AnswerStatus_Bad)),Rng_Lkp_AnswerStatus_Bad)</f>
        <v/>
      </c>
      <c r="I11" s="98">
        <f>IF(Tbl_BONUS_ComplexFormulas_01[[#This Row],[Member Start Date]]&lt;$G$6,"Too early",IF(LEFT(Tbl_BONUS_ComplexFormulas_01[[#This Row],[State]],1)="N",Tbl_BONUS_ComplexFormulas_01[[#This Row],[Member Dues]]*2,Tbl_BONUS_ComplexFormulas_01[[#This Row],[Member Dues]]))</f>
        <v>1400</v>
      </c>
      <c r="J11" s="100"/>
      <c r="K11" s="23" t="str">
        <f>IFERROR(IF(Tbl_BONUS_ComplexFormulas_01[[#This Row],[Did Member start before 12/1/13 (T/F)]]="","",IF(AND(_xlfn.ISFORMULA(Tbl_BONUS_ComplexFormulas_01[[#This Row],[Did Member start before 12/1/13 (T/F)]]),EXACT(Tbl_BONUS_ComplexFormulas_01[[#This Row],[Did Member start before 12/1/13 (T/F)]],Tbl_BONUS_ComplexFormulas_01[[#This Row],[Did Member start before 12/1/13 (T/F) ANS]])),Rng_Lkp_AnswerStatus_Good,Rng_Lkp_AnswerStatus_Bad)),Rng_Lkp_AnswerStatus_Bad)</f>
        <v/>
      </c>
      <c r="L11" s="102" t="b">
        <f>Tbl_BONUS_ComplexFormulas_01[[#This Row],[Member Start Date]]&lt;$J$6</f>
        <v>0</v>
      </c>
      <c r="M11" s="78"/>
      <c r="N11" s="23" t="str">
        <f>IFERROR(IF(Tbl_BONUS_ComplexFormulas_01[[#This Row],[First Letter of State]]="","",IF(AND(_xlfn.ISFORMULA(Tbl_BONUS_ComplexFormulas_01[[#This Row],[First Letter of State]]),EXACT(Tbl_BONUS_ComplexFormulas_01[[#This Row],[First Letter of State]],Tbl_BONUS_ComplexFormulas_01[[#This Row],[First Letter of State ANS]])),Rng_Lkp_AnswerStatus_Good,Rng_Lkp_AnswerStatus_Bad)),Rng_Lkp_AnswerStatus_Bad)</f>
        <v/>
      </c>
      <c r="O11" s="37" t="str">
        <f>LEFT(Tbl_BONUS_ComplexFormulas_01[[#This Row],[State]],1)</f>
        <v>M</v>
      </c>
      <c r="P11" s="100"/>
      <c r="Q11" s="23" t="str">
        <f>IFERROR(IF(Tbl_BONUS_ComplexFormulas_01[[#This Row],[Does State Start with "N" (T/F)]]="","",IF(AND(_xlfn.ISFORMULA(Tbl_BONUS_ComplexFormulas_01[[#This Row],[Does State Start with "N" (T/F)]]),EXACT(Tbl_BONUS_ComplexFormulas_01[[#This Row],[Does State Start with "N" (T/F)]],Tbl_BONUS_ComplexFormulas_01[[#This Row],[Does State Start with "N" (T/F) ANS]])),Rng_Lkp_AnswerStatus_Good,Rng_Lkp_AnswerStatus_Bad)),Rng_Lkp_AnswerStatus_Bad)</f>
        <v/>
      </c>
      <c r="R11" s="102" t="b">
        <f>Tbl_BONUS_ComplexFormulas_01[[#This Row],[First Letter of State]]="N"</f>
        <v>0</v>
      </c>
      <c r="S11" s="97"/>
      <c r="T11" s="23" t="str">
        <f>IFERROR(IF(Tbl_BONUS_ComplexFormulas_01[[#This Row],[Using Helper Columns - If Member started before 12/1/13, show "Too early". Otherwise, if State starts with the letter "N", show double the Member Dues. Otherwise, show Memer Dues.]]="","",IF(AND(_xlfn.ISFORMULA(Tbl_BONUS_ComplexFormulas_01[[#This Row],[Using Helper Columns - If Member started before 12/1/13, show "Too early". Otherwise, if State starts with the letter "N", show double the Member Dues. Otherwise, show Memer Dues.]]),EXACT(Tbl_BONUS_ComplexFormulas_01[[#This Row],[Using Helper Columns - If Member started before 12/1/13, show "Too early". Otherwise, if State starts with the letter "N", show double the Member Dues. Otherwise, show Memer Dues.]],Tbl_BONUS_ComplexFormulas_01[[#This Row],[Using Helper Columns - If Member started before 12/1/13, show "Too early". Otherwise, if State starts with the letter "N", show double the Member Dues. Otherwise, show Memer Dues. ANS]])),Rng_Lkp_AnswerStatus_Good,Rng_Lkp_AnswerStatus_Bad)),Rng_Lkp_AnswerStatus_Bad)</f>
        <v/>
      </c>
      <c r="U11" s="98">
        <f>IF(Tbl_BONUS_ComplexFormulas_01[[#This Row],[Did Member start before 12/1/13 (T/F)]],"Too early",IF(Tbl_BONUS_ComplexFormulas_01[[#This Row],[Does State Start with "N" (T/F)]],Tbl_BONUS_ComplexFormulas_01[[#This Row],[Member Dues]]*2,Tbl_BONUS_ComplexFormulas_01[[#This Row],[Member Dues]]))</f>
        <v>1400</v>
      </c>
    </row>
    <row r="12" spans="1:21" x14ac:dyDescent="0.25">
      <c r="B12" s="11">
        <v>2352</v>
      </c>
      <c r="C12" s="11" t="s">
        <v>104</v>
      </c>
      <c r="D12" s="12" t="s">
        <v>38</v>
      </c>
      <c r="E12" s="12">
        <v>43466</v>
      </c>
      <c r="F12" s="76">
        <v>1000</v>
      </c>
      <c r="G12" s="97"/>
      <c r="H12" s="23" t="str">
        <f>IFERROR(IF(Tbl_BONUS_ComplexFormulas_01[[#This Row],[Single Formula - If Member started before 12/1/13, show "Too early". Otherwise, if State starts with the letter "N", show double the Member Dues. Otherwise, show Memer Dues.]]="","",IF(AND(_xlfn.ISFORMULA(Tbl_BONUS_ComplexFormulas_01[[#This Row],[Single Formula - If Member started before 12/1/13, show "Too early". Otherwise, if State starts with the letter "N", show double the Member Dues. Otherwise, show Memer Dues.]]),EXACT(Tbl_BONUS_ComplexFormulas_01[[#This Row],[Single Formula - If Member started before 12/1/13, show "Too early". Otherwise, if State starts with the letter "N", show double the Member Dues. Otherwise, show Memer Dues.]],Tbl_BONUS_ComplexFormulas_01[[#This Row],[Single Formula - If Member started before 12/1/13, show "Too early". Otherwise, if State starts with the letter "N", show double the Member Dues. Otherwise, show Memer Dues. ANS]])),Rng_Lkp_AnswerStatus_Good,Rng_Lkp_AnswerStatus_Bad)),Rng_Lkp_AnswerStatus_Bad)</f>
        <v/>
      </c>
      <c r="I12" s="98">
        <f>IF(Tbl_BONUS_ComplexFormulas_01[[#This Row],[Member Start Date]]&lt;$G$6,"Too early",IF(LEFT(Tbl_BONUS_ComplexFormulas_01[[#This Row],[State]],1)="N",Tbl_BONUS_ComplexFormulas_01[[#This Row],[Member Dues]]*2,Tbl_BONUS_ComplexFormulas_01[[#This Row],[Member Dues]]))</f>
        <v>1000</v>
      </c>
      <c r="J12" s="100"/>
      <c r="K12" s="23" t="str">
        <f>IFERROR(IF(Tbl_BONUS_ComplexFormulas_01[[#This Row],[Did Member start before 12/1/13 (T/F)]]="","",IF(AND(_xlfn.ISFORMULA(Tbl_BONUS_ComplexFormulas_01[[#This Row],[Did Member start before 12/1/13 (T/F)]]),EXACT(Tbl_BONUS_ComplexFormulas_01[[#This Row],[Did Member start before 12/1/13 (T/F)]],Tbl_BONUS_ComplexFormulas_01[[#This Row],[Did Member start before 12/1/13 (T/F) ANS]])),Rng_Lkp_AnswerStatus_Good,Rng_Lkp_AnswerStatus_Bad)),Rng_Lkp_AnswerStatus_Bad)</f>
        <v/>
      </c>
      <c r="L12" s="102" t="b">
        <f>Tbl_BONUS_ComplexFormulas_01[[#This Row],[Member Start Date]]&lt;$J$6</f>
        <v>0</v>
      </c>
      <c r="M12" s="78"/>
      <c r="N12" s="23" t="str">
        <f>IFERROR(IF(Tbl_BONUS_ComplexFormulas_01[[#This Row],[First Letter of State]]="","",IF(AND(_xlfn.ISFORMULA(Tbl_BONUS_ComplexFormulas_01[[#This Row],[First Letter of State]]),EXACT(Tbl_BONUS_ComplexFormulas_01[[#This Row],[First Letter of State]],Tbl_BONUS_ComplexFormulas_01[[#This Row],[First Letter of State ANS]])),Rng_Lkp_AnswerStatus_Good,Rng_Lkp_AnswerStatus_Bad)),Rng_Lkp_AnswerStatus_Bad)</f>
        <v/>
      </c>
      <c r="O12" s="37" t="str">
        <f>LEFT(Tbl_BONUS_ComplexFormulas_01[[#This Row],[State]],1)</f>
        <v>I</v>
      </c>
      <c r="P12" s="100"/>
      <c r="Q12" s="23" t="str">
        <f>IFERROR(IF(Tbl_BONUS_ComplexFormulas_01[[#This Row],[Does State Start with "N" (T/F)]]="","",IF(AND(_xlfn.ISFORMULA(Tbl_BONUS_ComplexFormulas_01[[#This Row],[Does State Start with "N" (T/F)]]),EXACT(Tbl_BONUS_ComplexFormulas_01[[#This Row],[Does State Start with "N" (T/F)]],Tbl_BONUS_ComplexFormulas_01[[#This Row],[Does State Start with "N" (T/F) ANS]])),Rng_Lkp_AnswerStatus_Good,Rng_Lkp_AnswerStatus_Bad)),Rng_Lkp_AnswerStatus_Bad)</f>
        <v/>
      </c>
      <c r="R12" s="102" t="b">
        <f>Tbl_BONUS_ComplexFormulas_01[[#This Row],[First Letter of State]]="N"</f>
        <v>0</v>
      </c>
      <c r="S12" s="97"/>
      <c r="T12" s="23" t="str">
        <f>IFERROR(IF(Tbl_BONUS_ComplexFormulas_01[[#This Row],[Using Helper Columns - If Member started before 12/1/13, show "Too early". Otherwise, if State starts with the letter "N", show double the Member Dues. Otherwise, show Memer Dues.]]="","",IF(AND(_xlfn.ISFORMULA(Tbl_BONUS_ComplexFormulas_01[[#This Row],[Using Helper Columns - If Member started before 12/1/13, show "Too early". Otherwise, if State starts with the letter "N", show double the Member Dues. Otherwise, show Memer Dues.]]),EXACT(Tbl_BONUS_ComplexFormulas_01[[#This Row],[Using Helper Columns - If Member started before 12/1/13, show "Too early". Otherwise, if State starts with the letter "N", show double the Member Dues. Otherwise, show Memer Dues.]],Tbl_BONUS_ComplexFormulas_01[[#This Row],[Using Helper Columns - If Member started before 12/1/13, show "Too early". Otherwise, if State starts with the letter "N", show double the Member Dues. Otherwise, show Memer Dues. ANS]])),Rng_Lkp_AnswerStatus_Good,Rng_Lkp_AnswerStatus_Bad)),Rng_Lkp_AnswerStatus_Bad)</f>
        <v/>
      </c>
      <c r="U12" s="98">
        <f>IF(Tbl_BONUS_ComplexFormulas_01[[#This Row],[Did Member start before 12/1/13 (T/F)]],"Too early",IF(Tbl_BONUS_ComplexFormulas_01[[#This Row],[Does State Start with "N" (T/F)]],Tbl_BONUS_ComplexFormulas_01[[#This Row],[Member Dues]]*2,Tbl_BONUS_ComplexFormulas_01[[#This Row],[Member Dues]]))</f>
        <v>1000</v>
      </c>
    </row>
    <row r="13" spans="1:21" x14ac:dyDescent="0.25">
      <c r="B13" s="11">
        <v>1049</v>
      </c>
      <c r="C13" s="11" t="s">
        <v>105</v>
      </c>
      <c r="D13" s="12" t="s">
        <v>34</v>
      </c>
      <c r="E13" s="12">
        <v>40855</v>
      </c>
      <c r="F13" s="76">
        <v>1000</v>
      </c>
      <c r="G13" s="97"/>
      <c r="H13" s="23" t="str">
        <f>IFERROR(IF(Tbl_BONUS_ComplexFormulas_01[[#This Row],[Single Formula - If Member started before 12/1/13, show "Too early". Otherwise, if State starts with the letter "N", show double the Member Dues. Otherwise, show Memer Dues.]]="","",IF(AND(_xlfn.ISFORMULA(Tbl_BONUS_ComplexFormulas_01[[#This Row],[Single Formula - If Member started before 12/1/13, show "Too early". Otherwise, if State starts with the letter "N", show double the Member Dues. Otherwise, show Memer Dues.]]),EXACT(Tbl_BONUS_ComplexFormulas_01[[#This Row],[Single Formula - If Member started before 12/1/13, show "Too early". Otherwise, if State starts with the letter "N", show double the Member Dues. Otherwise, show Memer Dues.]],Tbl_BONUS_ComplexFormulas_01[[#This Row],[Single Formula - If Member started before 12/1/13, show "Too early". Otherwise, if State starts with the letter "N", show double the Member Dues. Otherwise, show Memer Dues. ANS]])),Rng_Lkp_AnswerStatus_Good,Rng_Lkp_AnswerStatus_Bad)),Rng_Lkp_AnswerStatus_Bad)</f>
        <v/>
      </c>
      <c r="I13" s="98" t="str">
        <f>IF(Tbl_BONUS_ComplexFormulas_01[[#This Row],[Member Start Date]]&lt;$G$6,"Too early",IF(LEFT(Tbl_BONUS_ComplexFormulas_01[[#This Row],[State]],1)="N",Tbl_BONUS_ComplexFormulas_01[[#This Row],[Member Dues]]*2,Tbl_BONUS_ComplexFormulas_01[[#This Row],[Member Dues]]))</f>
        <v>Too early</v>
      </c>
      <c r="J13" s="100"/>
      <c r="K13" s="23" t="str">
        <f>IFERROR(IF(Tbl_BONUS_ComplexFormulas_01[[#This Row],[Did Member start before 12/1/13 (T/F)]]="","",IF(AND(_xlfn.ISFORMULA(Tbl_BONUS_ComplexFormulas_01[[#This Row],[Did Member start before 12/1/13 (T/F)]]),EXACT(Tbl_BONUS_ComplexFormulas_01[[#This Row],[Did Member start before 12/1/13 (T/F)]],Tbl_BONUS_ComplexFormulas_01[[#This Row],[Did Member start before 12/1/13 (T/F) ANS]])),Rng_Lkp_AnswerStatus_Good,Rng_Lkp_AnswerStatus_Bad)),Rng_Lkp_AnswerStatus_Bad)</f>
        <v/>
      </c>
      <c r="L13" s="102" t="b">
        <f>Tbl_BONUS_ComplexFormulas_01[[#This Row],[Member Start Date]]&lt;$J$6</f>
        <v>1</v>
      </c>
      <c r="M13" s="78"/>
      <c r="N13" s="23" t="str">
        <f>IFERROR(IF(Tbl_BONUS_ComplexFormulas_01[[#This Row],[First Letter of State]]="","",IF(AND(_xlfn.ISFORMULA(Tbl_BONUS_ComplexFormulas_01[[#This Row],[First Letter of State]]),EXACT(Tbl_BONUS_ComplexFormulas_01[[#This Row],[First Letter of State]],Tbl_BONUS_ComplexFormulas_01[[#This Row],[First Letter of State ANS]])),Rng_Lkp_AnswerStatus_Good,Rng_Lkp_AnswerStatus_Bad)),Rng_Lkp_AnswerStatus_Bad)</f>
        <v/>
      </c>
      <c r="O13" s="37" t="str">
        <f>LEFT(Tbl_BONUS_ComplexFormulas_01[[#This Row],[State]],1)</f>
        <v>N</v>
      </c>
      <c r="P13" s="100"/>
      <c r="Q13" s="23" t="str">
        <f>IFERROR(IF(Tbl_BONUS_ComplexFormulas_01[[#This Row],[Does State Start with "N" (T/F)]]="","",IF(AND(_xlfn.ISFORMULA(Tbl_BONUS_ComplexFormulas_01[[#This Row],[Does State Start with "N" (T/F)]]),EXACT(Tbl_BONUS_ComplexFormulas_01[[#This Row],[Does State Start with "N" (T/F)]],Tbl_BONUS_ComplexFormulas_01[[#This Row],[Does State Start with "N" (T/F) ANS]])),Rng_Lkp_AnswerStatus_Good,Rng_Lkp_AnswerStatus_Bad)),Rng_Lkp_AnswerStatus_Bad)</f>
        <v/>
      </c>
      <c r="R13" s="102" t="b">
        <f>Tbl_BONUS_ComplexFormulas_01[[#This Row],[First Letter of State]]="N"</f>
        <v>0</v>
      </c>
      <c r="S13" s="97"/>
      <c r="T13" s="23" t="str">
        <f>IFERROR(IF(Tbl_BONUS_ComplexFormulas_01[[#This Row],[Using Helper Columns - If Member started before 12/1/13, show "Too early". Otherwise, if State starts with the letter "N", show double the Member Dues. Otherwise, show Memer Dues.]]="","",IF(AND(_xlfn.ISFORMULA(Tbl_BONUS_ComplexFormulas_01[[#This Row],[Using Helper Columns - If Member started before 12/1/13, show "Too early". Otherwise, if State starts with the letter "N", show double the Member Dues. Otherwise, show Memer Dues.]]),EXACT(Tbl_BONUS_ComplexFormulas_01[[#This Row],[Using Helper Columns - If Member started before 12/1/13, show "Too early". Otherwise, if State starts with the letter "N", show double the Member Dues. Otherwise, show Memer Dues.]],Tbl_BONUS_ComplexFormulas_01[[#This Row],[Using Helper Columns - If Member started before 12/1/13, show "Too early". Otherwise, if State starts with the letter "N", show double the Member Dues. Otherwise, show Memer Dues. ANS]])),Rng_Lkp_AnswerStatus_Good,Rng_Lkp_AnswerStatus_Bad)),Rng_Lkp_AnswerStatus_Bad)</f>
        <v/>
      </c>
      <c r="U13" s="98">
        <f>IF(Tbl_BONUS_ComplexFormulas_01[[#This Row],[Did Member start before 12/1/13 (T/F)]],"Too early",IF(Tbl_BONUS_ComplexFormulas_01[[#This Row],[Does State Start with "N" (T/F)]],Tbl_BONUS_ComplexFormulas_01[[#This Row],[Member Dues]]*2,Tbl_BONUS_ComplexFormulas_01[[#This Row],[Member Dues]]))</f>
        <v>1000</v>
      </c>
    </row>
    <row r="14" spans="1:21" x14ac:dyDescent="0.25">
      <c r="B14" s="11">
        <v>2278</v>
      </c>
      <c r="C14" s="11" t="s">
        <v>106</v>
      </c>
      <c r="D14" s="12" t="s">
        <v>36</v>
      </c>
      <c r="E14" s="12">
        <v>42166</v>
      </c>
      <c r="F14" s="76">
        <v>750</v>
      </c>
      <c r="G14" s="97"/>
      <c r="H14" s="23" t="str">
        <f>IFERROR(IF(Tbl_BONUS_ComplexFormulas_01[[#This Row],[Single Formula - If Member started before 12/1/13, show "Too early". Otherwise, if State starts with the letter "N", show double the Member Dues. Otherwise, show Memer Dues.]]="","",IF(AND(_xlfn.ISFORMULA(Tbl_BONUS_ComplexFormulas_01[[#This Row],[Single Formula - If Member started before 12/1/13, show "Too early". Otherwise, if State starts with the letter "N", show double the Member Dues. Otherwise, show Memer Dues.]]),EXACT(Tbl_BONUS_ComplexFormulas_01[[#This Row],[Single Formula - If Member started before 12/1/13, show "Too early". Otherwise, if State starts with the letter "N", show double the Member Dues. Otherwise, show Memer Dues.]],Tbl_BONUS_ComplexFormulas_01[[#This Row],[Single Formula - If Member started before 12/1/13, show "Too early". Otherwise, if State starts with the letter "N", show double the Member Dues. Otherwise, show Memer Dues. ANS]])),Rng_Lkp_AnswerStatus_Good,Rng_Lkp_AnswerStatus_Bad)),Rng_Lkp_AnswerStatus_Bad)</f>
        <v/>
      </c>
      <c r="I14" s="98">
        <f>IF(Tbl_BONUS_ComplexFormulas_01[[#This Row],[Member Start Date]]&lt;$G$6,"Too early",IF(LEFT(Tbl_BONUS_ComplexFormulas_01[[#This Row],[State]],1)="N",Tbl_BONUS_ComplexFormulas_01[[#This Row],[Member Dues]]*2,Tbl_BONUS_ComplexFormulas_01[[#This Row],[Member Dues]]))</f>
        <v>1500</v>
      </c>
      <c r="J14" s="100"/>
      <c r="K14" s="23" t="str">
        <f>IFERROR(IF(Tbl_BONUS_ComplexFormulas_01[[#This Row],[Did Member start before 12/1/13 (T/F)]]="","",IF(AND(_xlfn.ISFORMULA(Tbl_BONUS_ComplexFormulas_01[[#This Row],[Did Member start before 12/1/13 (T/F)]]),EXACT(Tbl_BONUS_ComplexFormulas_01[[#This Row],[Did Member start before 12/1/13 (T/F)]],Tbl_BONUS_ComplexFormulas_01[[#This Row],[Did Member start before 12/1/13 (T/F) ANS]])),Rng_Lkp_AnswerStatus_Good,Rng_Lkp_AnswerStatus_Bad)),Rng_Lkp_AnswerStatus_Bad)</f>
        <v/>
      </c>
      <c r="L14" s="102" t="b">
        <f>Tbl_BONUS_ComplexFormulas_01[[#This Row],[Member Start Date]]&lt;$J$6</f>
        <v>0</v>
      </c>
      <c r="M14" s="78"/>
      <c r="N14" s="23" t="str">
        <f>IFERROR(IF(Tbl_BONUS_ComplexFormulas_01[[#This Row],[First Letter of State]]="","",IF(AND(_xlfn.ISFORMULA(Tbl_BONUS_ComplexFormulas_01[[#This Row],[First Letter of State]]),EXACT(Tbl_BONUS_ComplexFormulas_01[[#This Row],[First Letter of State]],Tbl_BONUS_ComplexFormulas_01[[#This Row],[First Letter of State ANS]])),Rng_Lkp_AnswerStatus_Good,Rng_Lkp_AnswerStatus_Bad)),Rng_Lkp_AnswerStatus_Bad)</f>
        <v/>
      </c>
      <c r="O14" s="37" t="str">
        <f>LEFT(Tbl_BONUS_ComplexFormulas_01[[#This Row],[State]],1)</f>
        <v>N</v>
      </c>
      <c r="P14" s="100"/>
      <c r="Q14" s="23" t="str">
        <f>IFERROR(IF(Tbl_BONUS_ComplexFormulas_01[[#This Row],[Does State Start with "N" (T/F)]]="","",IF(AND(_xlfn.ISFORMULA(Tbl_BONUS_ComplexFormulas_01[[#This Row],[Does State Start with "N" (T/F)]]),EXACT(Tbl_BONUS_ComplexFormulas_01[[#This Row],[Does State Start with "N" (T/F)]],Tbl_BONUS_ComplexFormulas_01[[#This Row],[Does State Start with "N" (T/F) ANS]])),Rng_Lkp_AnswerStatus_Good,Rng_Lkp_AnswerStatus_Bad)),Rng_Lkp_AnswerStatus_Bad)</f>
        <v/>
      </c>
      <c r="R14" s="102" t="b">
        <f>Tbl_BONUS_ComplexFormulas_01[[#This Row],[First Letter of State]]="N"</f>
        <v>0</v>
      </c>
      <c r="S14" s="97"/>
      <c r="T14" s="23" t="str">
        <f>IFERROR(IF(Tbl_BONUS_ComplexFormulas_01[[#This Row],[Using Helper Columns - If Member started before 12/1/13, show "Too early". Otherwise, if State starts with the letter "N", show double the Member Dues. Otherwise, show Memer Dues.]]="","",IF(AND(_xlfn.ISFORMULA(Tbl_BONUS_ComplexFormulas_01[[#This Row],[Using Helper Columns - If Member started before 12/1/13, show "Too early". Otherwise, if State starts with the letter "N", show double the Member Dues. Otherwise, show Memer Dues.]]),EXACT(Tbl_BONUS_ComplexFormulas_01[[#This Row],[Using Helper Columns - If Member started before 12/1/13, show "Too early". Otherwise, if State starts with the letter "N", show double the Member Dues. Otherwise, show Memer Dues.]],Tbl_BONUS_ComplexFormulas_01[[#This Row],[Using Helper Columns - If Member started before 12/1/13, show "Too early". Otherwise, if State starts with the letter "N", show double the Member Dues. Otherwise, show Memer Dues. ANS]])),Rng_Lkp_AnswerStatus_Good,Rng_Lkp_AnswerStatus_Bad)),Rng_Lkp_AnswerStatus_Bad)</f>
        <v/>
      </c>
      <c r="U14" s="98">
        <f>IF(Tbl_BONUS_ComplexFormulas_01[[#This Row],[Did Member start before 12/1/13 (T/F)]],"Too early",IF(Tbl_BONUS_ComplexFormulas_01[[#This Row],[Does State Start with "N" (T/F)]],Tbl_BONUS_ComplexFormulas_01[[#This Row],[Member Dues]]*2,Tbl_BONUS_ComplexFormulas_01[[#This Row],[Member Dues]]))</f>
        <v>750</v>
      </c>
    </row>
    <row r="15" spans="1:21" x14ac:dyDescent="0.25">
      <c r="B15" s="11">
        <v>4071</v>
      </c>
      <c r="C15" s="11" t="s">
        <v>6</v>
      </c>
      <c r="D15" s="12" t="s">
        <v>37</v>
      </c>
      <c r="E15" s="12">
        <v>43466</v>
      </c>
      <c r="F15" s="76">
        <v>75</v>
      </c>
      <c r="G15" s="97"/>
      <c r="H15" s="23" t="str">
        <f>IFERROR(IF(Tbl_BONUS_ComplexFormulas_01[[#This Row],[Single Formula - If Member started before 12/1/13, show "Too early". Otherwise, if State starts with the letter "N", show double the Member Dues. Otherwise, show Memer Dues.]]="","",IF(AND(_xlfn.ISFORMULA(Tbl_BONUS_ComplexFormulas_01[[#This Row],[Single Formula - If Member started before 12/1/13, show "Too early". Otherwise, if State starts with the letter "N", show double the Member Dues. Otherwise, show Memer Dues.]]),EXACT(Tbl_BONUS_ComplexFormulas_01[[#This Row],[Single Formula - If Member started before 12/1/13, show "Too early". Otherwise, if State starts with the letter "N", show double the Member Dues. Otherwise, show Memer Dues.]],Tbl_BONUS_ComplexFormulas_01[[#This Row],[Single Formula - If Member started before 12/1/13, show "Too early". Otherwise, if State starts with the letter "N", show double the Member Dues. Otherwise, show Memer Dues. ANS]])),Rng_Lkp_AnswerStatus_Good,Rng_Lkp_AnswerStatus_Bad)),Rng_Lkp_AnswerStatus_Bad)</f>
        <v/>
      </c>
      <c r="I15" s="98">
        <f>IF(Tbl_BONUS_ComplexFormulas_01[[#This Row],[Member Start Date]]&lt;$G$6,"Too early",IF(LEFT(Tbl_BONUS_ComplexFormulas_01[[#This Row],[State]],1)="N",Tbl_BONUS_ComplexFormulas_01[[#This Row],[Member Dues]]*2,Tbl_BONUS_ComplexFormulas_01[[#This Row],[Member Dues]]))</f>
        <v>75</v>
      </c>
      <c r="J15" s="100"/>
      <c r="K15" s="23" t="str">
        <f>IFERROR(IF(Tbl_BONUS_ComplexFormulas_01[[#This Row],[Did Member start before 12/1/13 (T/F)]]="","",IF(AND(_xlfn.ISFORMULA(Tbl_BONUS_ComplexFormulas_01[[#This Row],[Did Member start before 12/1/13 (T/F)]]),EXACT(Tbl_BONUS_ComplexFormulas_01[[#This Row],[Did Member start before 12/1/13 (T/F)]],Tbl_BONUS_ComplexFormulas_01[[#This Row],[Did Member start before 12/1/13 (T/F) ANS]])),Rng_Lkp_AnswerStatus_Good,Rng_Lkp_AnswerStatus_Bad)),Rng_Lkp_AnswerStatus_Bad)</f>
        <v/>
      </c>
      <c r="L15" s="102" t="b">
        <f>Tbl_BONUS_ComplexFormulas_01[[#This Row],[Member Start Date]]&lt;$J$6</f>
        <v>0</v>
      </c>
      <c r="M15" s="78"/>
      <c r="N15" s="23" t="str">
        <f>IFERROR(IF(Tbl_BONUS_ComplexFormulas_01[[#This Row],[First Letter of State]]="","",IF(AND(_xlfn.ISFORMULA(Tbl_BONUS_ComplexFormulas_01[[#This Row],[First Letter of State]]),EXACT(Tbl_BONUS_ComplexFormulas_01[[#This Row],[First Letter of State]],Tbl_BONUS_ComplexFormulas_01[[#This Row],[First Letter of State ANS]])),Rng_Lkp_AnswerStatus_Good,Rng_Lkp_AnswerStatus_Bad)),Rng_Lkp_AnswerStatus_Bad)</f>
        <v/>
      </c>
      <c r="O15" s="37" t="str">
        <f>LEFT(Tbl_BONUS_ComplexFormulas_01[[#This Row],[State]],1)</f>
        <v>M</v>
      </c>
      <c r="P15" s="100"/>
      <c r="Q15" s="23" t="str">
        <f>IFERROR(IF(Tbl_BONUS_ComplexFormulas_01[[#This Row],[Does State Start with "N" (T/F)]]="","",IF(AND(_xlfn.ISFORMULA(Tbl_BONUS_ComplexFormulas_01[[#This Row],[Does State Start with "N" (T/F)]]),EXACT(Tbl_BONUS_ComplexFormulas_01[[#This Row],[Does State Start with "N" (T/F)]],Tbl_BONUS_ComplexFormulas_01[[#This Row],[Does State Start with "N" (T/F) ANS]])),Rng_Lkp_AnswerStatus_Good,Rng_Lkp_AnswerStatus_Bad)),Rng_Lkp_AnswerStatus_Bad)</f>
        <v/>
      </c>
      <c r="R15" s="102" t="b">
        <f>Tbl_BONUS_ComplexFormulas_01[[#This Row],[First Letter of State]]="N"</f>
        <v>0</v>
      </c>
      <c r="S15" s="97"/>
      <c r="T15" s="23" t="str">
        <f>IFERROR(IF(Tbl_BONUS_ComplexFormulas_01[[#This Row],[Using Helper Columns - If Member started before 12/1/13, show "Too early". Otherwise, if State starts with the letter "N", show double the Member Dues. Otherwise, show Memer Dues.]]="","",IF(AND(_xlfn.ISFORMULA(Tbl_BONUS_ComplexFormulas_01[[#This Row],[Using Helper Columns - If Member started before 12/1/13, show "Too early". Otherwise, if State starts with the letter "N", show double the Member Dues. Otherwise, show Memer Dues.]]),EXACT(Tbl_BONUS_ComplexFormulas_01[[#This Row],[Using Helper Columns - If Member started before 12/1/13, show "Too early". Otherwise, if State starts with the letter "N", show double the Member Dues. Otherwise, show Memer Dues.]],Tbl_BONUS_ComplexFormulas_01[[#This Row],[Using Helper Columns - If Member started before 12/1/13, show "Too early". Otherwise, if State starts with the letter "N", show double the Member Dues. Otherwise, show Memer Dues. ANS]])),Rng_Lkp_AnswerStatus_Good,Rng_Lkp_AnswerStatus_Bad)),Rng_Lkp_AnswerStatus_Bad)</f>
        <v/>
      </c>
      <c r="U15" s="98">
        <f>IF(Tbl_BONUS_ComplexFormulas_01[[#This Row],[Did Member start before 12/1/13 (T/F)]],"Too early",IF(Tbl_BONUS_ComplexFormulas_01[[#This Row],[Does State Start with "N" (T/F)]],Tbl_BONUS_ComplexFormulas_01[[#This Row],[Member Dues]]*2,Tbl_BONUS_ComplexFormulas_01[[#This Row],[Member Dues]]))</f>
        <v>75</v>
      </c>
    </row>
    <row r="16" spans="1:21" x14ac:dyDescent="0.25">
      <c r="B16" s="11">
        <v>1066</v>
      </c>
      <c r="C16" s="11" t="s">
        <v>7</v>
      </c>
      <c r="D16" s="12" t="s">
        <v>39</v>
      </c>
      <c r="E16" s="12">
        <v>41568</v>
      </c>
      <c r="F16" s="76">
        <v>75</v>
      </c>
      <c r="G16" s="97"/>
      <c r="H16" s="23" t="str">
        <f>IFERROR(IF(Tbl_BONUS_ComplexFormulas_01[[#This Row],[Single Formula - If Member started before 12/1/13, show "Too early". Otherwise, if State starts with the letter "N", show double the Member Dues. Otherwise, show Memer Dues.]]="","",IF(AND(_xlfn.ISFORMULA(Tbl_BONUS_ComplexFormulas_01[[#This Row],[Single Formula - If Member started before 12/1/13, show "Too early". Otherwise, if State starts with the letter "N", show double the Member Dues. Otherwise, show Memer Dues.]]),EXACT(Tbl_BONUS_ComplexFormulas_01[[#This Row],[Single Formula - If Member started before 12/1/13, show "Too early". Otherwise, if State starts with the letter "N", show double the Member Dues. Otherwise, show Memer Dues.]],Tbl_BONUS_ComplexFormulas_01[[#This Row],[Single Formula - If Member started before 12/1/13, show "Too early". Otherwise, if State starts with the letter "N", show double the Member Dues. Otherwise, show Memer Dues. ANS]])),Rng_Lkp_AnswerStatus_Good,Rng_Lkp_AnswerStatus_Bad)),Rng_Lkp_AnswerStatus_Bad)</f>
        <v/>
      </c>
      <c r="I16" s="98" t="str">
        <f>IF(Tbl_BONUS_ComplexFormulas_01[[#This Row],[Member Start Date]]&lt;$G$6,"Too early",IF(LEFT(Tbl_BONUS_ComplexFormulas_01[[#This Row],[State]],1)="N",Tbl_BONUS_ComplexFormulas_01[[#This Row],[Member Dues]]*2,Tbl_BONUS_ComplexFormulas_01[[#This Row],[Member Dues]]))</f>
        <v>Too early</v>
      </c>
      <c r="J16" s="100"/>
      <c r="K16" s="23" t="str">
        <f>IFERROR(IF(Tbl_BONUS_ComplexFormulas_01[[#This Row],[Did Member start before 12/1/13 (T/F)]]="","",IF(AND(_xlfn.ISFORMULA(Tbl_BONUS_ComplexFormulas_01[[#This Row],[Did Member start before 12/1/13 (T/F)]]),EXACT(Tbl_BONUS_ComplexFormulas_01[[#This Row],[Did Member start before 12/1/13 (T/F)]],Tbl_BONUS_ComplexFormulas_01[[#This Row],[Did Member start before 12/1/13 (T/F) ANS]])),Rng_Lkp_AnswerStatus_Good,Rng_Lkp_AnswerStatus_Bad)),Rng_Lkp_AnswerStatus_Bad)</f>
        <v/>
      </c>
      <c r="L16" s="102" t="b">
        <f>Tbl_BONUS_ComplexFormulas_01[[#This Row],[Member Start Date]]&lt;$J$6</f>
        <v>1</v>
      </c>
      <c r="M16" s="78"/>
      <c r="N16" s="23" t="str">
        <f>IFERROR(IF(Tbl_BONUS_ComplexFormulas_01[[#This Row],[First Letter of State]]="","",IF(AND(_xlfn.ISFORMULA(Tbl_BONUS_ComplexFormulas_01[[#This Row],[First Letter of State]]),EXACT(Tbl_BONUS_ComplexFormulas_01[[#This Row],[First Letter of State]],Tbl_BONUS_ComplexFormulas_01[[#This Row],[First Letter of State ANS]])),Rng_Lkp_AnswerStatus_Good,Rng_Lkp_AnswerStatus_Bad)),Rng_Lkp_AnswerStatus_Bad)</f>
        <v/>
      </c>
      <c r="O16" s="37" t="str">
        <f>LEFT(Tbl_BONUS_ComplexFormulas_01[[#This Row],[State]],1)</f>
        <v>M</v>
      </c>
      <c r="P16" s="100"/>
      <c r="Q16" s="23" t="str">
        <f>IFERROR(IF(Tbl_BONUS_ComplexFormulas_01[[#This Row],[Does State Start with "N" (T/F)]]="","",IF(AND(_xlfn.ISFORMULA(Tbl_BONUS_ComplexFormulas_01[[#This Row],[Does State Start with "N" (T/F)]]),EXACT(Tbl_BONUS_ComplexFormulas_01[[#This Row],[Does State Start with "N" (T/F)]],Tbl_BONUS_ComplexFormulas_01[[#This Row],[Does State Start with "N" (T/F) ANS]])),Rng_Lkp_AnswerStatus_Good,Rng_Lkp_AnswerStatus_Bad)),Rng_Lkp_AnswerStatus_Bad)</f>
        <v/>
      </c>
      <c r="R16" s="102" t="b">
        <f>Tbl_BONUS_ComplexFormulas_01[[#This Row],[First Letter of State]]="N"</f>
        <v>0</v>
      </c>
      <c r="S16" s="97"/>
      <c r="T16" s="23" t="str">
        <f>IFERROR(IF(Tbl_BONUS_ComplexFormulas_01[[#This Row],[Using Helper Columns - If Member started before 12/1/13, show "Too early". Otherwise, if State starts with the letter "N", show double the Member Dues. Otherwise, show Memer Dues.]]="","",IF(AND(_xlfn.ISFORMULA(Tbl_BONUS_ComplexFormulas_01[[#This Row],[Using Helper Columns - If Member started before 12/1/13, show "Too early". Otherwise, if State starts with the letter "N", show double the Member Dues. Otherwise, show Memer Dues.]]),EXACT(Tbl_BONUS_ComplexFormulas_01[[#This Row],[Using Helper Columns - If Member started before 12/1/13, show "Too early". Otherwise, if State starts with the letter "N", show double the Member Dues. Otherwise, show Memer Dues.]],Tbl_BONUS_ComplexFormulas_01[[#This Row],[Using Helper Columns - If Member started before 12/1/13, show "Too early". Otherwise, if State starts with the letter "N", show double the Member Dues. Otherwise, show Memer Dues. ANS]])),Rng_Lkp_AnswerStatus_Good,Rng_Lkp_AnswerStatus_Bad)),Rng_Lkp_AnswerStatus_Bad)</f>
        <v/>
      </c>
      <c r="U16" s="98">
        <f>IF(Tbl_BONUS_ComplexFormulas_01[[#This Row],[Did Member start before 12/1/13 (T/F)]],"Too early",IF(Tbl_BONUS_ComplexFormulas_01[[#This Row],[Does State Start with "N" (T/F)]],Tbl_BONUS_ComplexFormulas_01[[#This Row],[Member Dues]]*2,Tbl_BONUS_ComplexFormulas_01[[#This Row],[Member Dues]]))</f>
        <v>75</v>
      </c>
    </row>
    <row r="17" spans="2:21" x14ac:dyDescent="0.25">
      <c r="B17" s="11">
        <v>2316</v>
      </c>
      <c r="C17" s="11" t="s">
        <v>109</v>
      </c>
      <c r="D17" s="12" t="s">
        <v>40</v>
      </c>
      <c r="E17" s="12">
        <v>42898</v>
      </c>
      <c r="F17" s="76">
        <v>72</v>
      </c>
      <c r="G17" s="97"/>
      <c r="H17" s="23" t="str">
        <f>IFERROR(IF(Tbl_BONUS_ComplexFormulas_01[[#This Row],[Single Formula - If Member started before 12/1/13, show "Too early". Otherwise, if State starts with the letter "N", show double the Member Dues. Otherwise, show Memer Dues.]]="","",IF(AND(_xlfn.ISFORMULA(Tbl_BONUS_ComplexFormulas_01[[#This Row],[Single Formula - If Member started before 12/1/13, show "Too early". Otherwise, if State starts with the letter "N", show double the Member Dues. Otherwise, show Memer Dues.]]),EXACT(Tbl_BONUS_ComplexFormulas_01[[#This Row],[Single Formula - If Member started before 12/1/13, show "Too early". Otherwise, if State starts with the letter "N", show double the Member Dues. Otherwise, show Memer Dues.]],Tbl_BONUS_ComplexFormulas_01[[#This Row],[Single Formula - If Member started before 12/1/13, show "Too early". Otherwise, if State starts with the letter "N", show double the Member Dues. Otherwise, show Memer Dues. ANS]])),Rng_Lkp_AnswerStatus_Good,Rng_Lkp_AnswerStatus_Bad)),Rng_Lkp_AnswerStatus_Bad)</f>
        <v/>
      </c>
      <c r="I17" s="98">
        <f>IF(Tbl_BONUS_ComplexFormulas_01[[#This Row],[Member Start Date]]&lt;$G$6,"Too early",IF(LEFT(Tbl_BONUS_ComplexFormulas_01[[#This Row],[State]],1)="N",Tbl_BONUS_ComplexFormulas_01[[#This Row],[Member Dues]]*2,Tbl_BONUS_ComplexFormulas_01[[#This Row],[Member Dues]]))</f>
        <v>72</v>
      </c>
      <c r="J17" s="100"/>
      <c r="K17" s="23" t="str">
        <f>IFERROR(IF(Tbl_BONUS_ComplexFormulas_01[[#This Row],[Did Member start before 12/1/13 (T/F)]]="","",IF(AND(_xlfn.ISFORMULA(Tbl_BONUS_ComplexFormulas_01[[#This Row],[Did Member start before 12/1/13 (T/F)]]),EXACT(Tbl_BONUS_ComplexFormulas_01[[#This Row],[Did Member start before 12/1/13 (T/F)]],Tbl_BONUS_ComplexFormulas_01[[#This Row],[Did Member start before 12/1/13 (T/F) ANS]])),Rng_Lkp_AnswerStatus_Good,Rng_Lkp_AnswerStatus_Bad)),Rng_Lkp_AnswerStatus_Bad)</f>
        <v/>
      </c>
      <c r="L17" s="102" t="b">
        <f>Tbl_BONUS_ComplexFormulas_01[[#This Row],[Member Start Date]]&lt;$J$6</f>
        <v>0</v>
      </c>
      <c r="M17" s="78"/>
      <c r="N17" s="23" t="str">
        <f>IFERROR(IF(Tbl_BONUS_ComplexFormulas_01[[#This Row],[First Letter of State]]="","",IF(AND(_xlfn.ISFORMULA(Tbl_BONUS_ComplexFormulas_01[[#This Row],[First Letter of State]]),EXACT(Tbl_BONUS_ComplexFormulas_01[[#This Row],[First Letter of State]],Tbl_BONUS_ComplexFormulas_01[[#This Row],[First Letter of State ANS]])),Rng_Lkp_AnswerStatus_Good,Rng_Lkp_AnswerStatus_Bad)),Rng_Lkp_AnswerStatus_Bad)</f>
        <v/>
      </c>
      <c r="O17" s="37" t="str">
        <f>LEFT(Tbl_BONUS_ComplexFormulas_01[[#This Row],[State]],1)</f>
        <v>F</v>
      </c>
      <c r="P17" s="100"/>
      <c r="Q17" s="23" t="str">
        <f>IFERROR(IF(Tbl_BONUS_ComplexFormulas_01[[#This Row],[Does State Start with "N" (T/F)]]="","",IF(AND(_xlfn.ISFORMULA(Tbl_BONUS_ComplexFormulas_01[[#This Row],[Does State Start with "N" (T/F)]]),EXACT(Tbl_BONUS_ComplexFormulas_01[[#This Row],[Does State Start with "N" (T/F)]],Tbl_BONUS_ComplexFormulas_01[[#This Row],[Does State Start with "N" (T/F) ANS]])),Rng_Lkp_AnswerStatus_Good,Rng_Lkp_AnswerStatus_Bad)),Rng_Lkp_AnswerStatus_Bad)</f>
        <v/>
      </c>
      <c r="R17" s="102" t="b">
        <f>Tbl_BONUS_ComplexFormulas_01[[#This Row],[First Letter of State]]="N"</f>
        <v>0</v>
      </c>
      <c r="S17" s="97"/>
      <c r="T17" s="23" t="str">
        <f>IFERROR(IF(Tbl_BONUS_ComplexFormulas_01[[#This Row],[Using Helper Columns - If Member started before 12/1/13, show "Too early". Otherwise, if State starts with the letter "N", show double the Member Dues. Otherwise, show Memer Dues.]]="","",IF(AND(_xlfn.ISFORMULA(Tbl_BONUS_ComplexFormulas_01[[#This Row],[Using Helper Columns - If Member started before 12/1/13, show "Too early". Otherwise, if State starts with the letter "N", show double the Member Dues. Otherwise, show Memer Dues.]]),EXACT(Tbl_BONUS_ComplexFormulas_01[[#This Row],[Using Helper Columns - If Member started before 12/1/13, show "Too early". Otherwise, if State starts with the letter "N", show double the Member Dues. Otherwise, show Memer Dues.]],Tbl_BONUS_ComplexFormulas_01[[#This Row],[Using Helper Columns - If Member started before 12/1/13, show "Too early". Otherwise, if State starts with the letter "N", show double the Member Dues. Otherwise, show Memer Dues. ANS]])),Rng_Lkp_AnswerStatus_Good,Rng_Lkp_AnswerStatus_Bad)),Rng_Lkp_AnswerStatus_Bad)</f>
        <v/>
      </c>
      <c r="U17" s="98">
        <f>IF(Tbl_BONUS_ComplexFormulas_01[[#This Row],[Did Member start before 12/1/13 (T/F)]],"Too early",IF(Tbl_BONUS_ComplexFormulas_01[[#This Row],[Does State Start with "N" (T/F)]],Tbl_BONUS_ComplexFormulas_01[[#This Row],[Member Dues]]*2,Tbl_BONUS_ComplexFormulas_01[[#This Row],[Member Dues]]))</f>
        <v>72</v>
      </c>
    </row>
  </sheetData>
  <conditionalFormatting sqref="B5:C6 H6 K6 N6 Q6 T6">
    <cfRule type="colorScale" priority="1">
      <colorScale>
        <cfvo type="num" val="0"/>
        <cfvo type="num" val="0.5"/>
        <cfvo type="num" val="1"/>
        <color rgb="FFF8696B"/>
        <color rgb="FFFFEB84"/>
        <color rgb="FF63BE7B"/>
      </colorScale>
    </cfRule>
  </conditionalFormatting>
  <conditionalFormatting sqref="B8:U17">
    <cfRule type="cellIs" dxfId="1" priority="2" operator="equal">
      <formula>Rng_Lkp_AnswerStatus_Bad</formula>
    </cfRule>
    <cfRule type="cellIs" dxfId="0" priority="3" operator="equal">
      <formula>Rng_Lkp_AnswerStatus_Good</formula>
    </cfRule>
  </conditionalFormatting>
  <pageMargins left="0.7" right="0.7" top="0.75" bottom="0.75" header="0.3" footer="0.3"/>
  <pageSetup paperSize="121" orientation="portrait" horizontalDpi="300" verticalDpi="300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6DF35-0A30-413F-8BF7-DD738587EA56}">
  <sheetPr>
    <tabColor theme="1"/>
  </sheetPr>
  <dimension ref="A1:E5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7.7109375" bestFit="1" customWidth="1"/>
    <col min="2" max="2" width="2.7109375" customWidth="1"/>
    <col min="3" max="3" width="4.140625" bestFit="1" customWidth="1"/>
    <col min="4" max="4" width="2.7109375" customWidth="1"/>
    <col min="5" max="5" width="12.42578125" bestFit="1" customWidth="1"/>
  </cols>
  <sheetData>
    <row r="1" spans="1:5" s="56" customFormat="1" ht="30" x14ac:dyDescent="0.25">
      <c r="A1" s="50" t="s">
        <v>12</v>
      </c>
      <c r="C1" s="50" t="s">
        <v>61</v>
      </c>
      <c r="E1" s="17" t="s">
        <v>45</v>
      </c>
    </row>
    <row r="2" spans="1:5" x14ac:dyDescent="0.25">
      <c r="A2" s="49" t="s">
        <v>13</v>
      </c>
      <c r="C2" s="49" t="s">
        <v>42</v>
      </c>
      <c r="E2" s="48" t="s">
        <v>44</v>
      </c>
    </row>
    <row r="3" spans="1:5" x14ac:dyDescent="0.25">
      <c r="A3" s="16" t="s">
        <v>14</v>
      </c>
      <c r="C3" s="57" t="s">
        <v>43</v>
      </c>
      <c r="E3" s="51" t="s">
        <v>46</v>
      </c>
    </row>
    <row r="4" spans="1:5" x14ac:dyDescent="0.25">
      <c r="E4" s="51" t="s">
        <v>47</v>
      </c>
    </row>
    <row r="5" spans="1:5" x14ac:dyDescent="0.25">
      <c r="E5" s="51" t="s">
        <v>48</v>
      </c>
    </row>
  </sheetData>
  <pageMargins left="0.7" right="0.7" top="0.75" bottom="0.75" header="0.3" footer="0.3"/>
  <pageSetup paperSize="121" orientation="portrait" horizontalDpi="300" verticalDpi="300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Overview</vt:lpstr>
      <vt:lpstr>A0) Formula Elements Intro</vt:lpstr>
      <vt:lpstr>A1) Formula Elements</vt:lpstr>
      <vt:lpstr>A2) Syntax</vt:lpstr>
      <vt:lpstr>B3) Placeholders</vt:lpstr>
      <vt:lpstr>B4) Helper Columns</vt:lpstr>
      <vt:lpstr>B5) Help</vt:lpstr>
      <vt:lpstr>BONUS) Complex Formulas</vt:lpstr>
      <vt:lpstr>Lookup Values</vt:lpstr>
      <vt:lpstr>Rng_Lkp_AnswerStatus_Bad</vt:lpstr>
      <vt:lpstr>Rng_Lkp_AnswerStatus_Good</vt:lpstr>
      <vt:lpstr>Rng_Lkp_FormulaElement</vt:lpstr>
      <vt:lpstr>Rng_Lkp_YN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 Aviv</dc:creator>
  <cp:lastModifiedBy>Shir Moscovitz</cp:lastModifiedBy>
  <dcterms:created xsi:type="dcterms:W3CDTF">2014-01-07T16:50:54Z</dcterms:created>
  <dcterms:modified xsi:type="dcterms:W3CDTF">2024-01-10T19:05:10Z</dcterms:modified>
</cp:coreProperties>
</file>