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9.xml" ContentType="application/vnd.openxmlformats-officedocument.drawing+xml"/>
  <Override PartName="/xl/tables/table12.xml" ContentType="application/vnd.openxmlformats-officedocument.spreadsheetml.table+xml"/>
  <Override PartName="/xl/drawings/drawing10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JPro\Specific Classes\2023_05 Formula Deep Dive\Blank Files\"/>
    </mc:Choice>
  </mc:AlternateContent>
  <xr:revisionPtr revIDLastSave="0" documentId="13_ncr:1_{3D441AC5-4491-4B8B-9B72-EBA4CB466AD3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Overview" sheetId="5" r:id="rId1"/>
    <sheet name="REVIEW) Formula Fundamentals" sheetId="72" r:id="rId2"/>
    <sheet name="A1) Relative References" sheetId="64" r:id="rId3"/>
    <sheet name="A2) Absolute References" sheetId="65" r:id="rId4"/>
    <sheet name="A3) Mixed References" sheetId="66" r:id="rId5"/>
    <sheet name="A4) Math Functions" sheetId="52" r:id="rId6"/>
    <sheet name="A5) Math Report" sheetId="58" r:id="rId7"/>
    <sheet name="BONUS 1) Math Functions" sheetId="68" r:id="rId8"/>
    <sheet name="BONUS 2) Math Report" sheetId="59" r:id="rId9"/>
    <sheet name="B6) Text Functions" sheetId="69" r:id="rId10"/>
    <sheet name="BONUS 3) Text Functions" sheetId="70" r:id="rId11"/>
    <sheet name="Lookup Values" sheetId="36" state="hidden" r:id="rId12"/>
  </sheets>
  <definedNames>
    <definedName name="Rng_Lkp_AnswerStatus_Bad">'Lookup Values'!$A$3</definedName>
    <definedName name="Rng_Lkp_AnswerStatus_Good">'Lookup Values'!$A$2</definedName>
    <definedName name="Rng_Lkp_FormulaElement">Tbl_Lkp_FormulaElement[Formula Element]</definedName>
    <definedName name="Rng_Lkp_YN">Tbl_Lkp_YN[YesNo]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8" l="1"/>
  <c r="E12" i="58"/>
  <c r="S8" i="69"/>
  <c r="S9" i="69"/>
  <c r="S10" i="69"/>
  <c r="S11" i="69"/>
  <c r="S12" i="69"/>
  <c r="S13" i="69"/>
  <c r="S14" i="69"/>
  <c r="S15" i="69"/>
  <c r="S16" i="69"/>
  <c r="S17" i="69"/>
  <c r="S18" i="69"/>
  <c r="S19" i="69"/>
  <c r="S20" i="69"/>
  <c r="S21" i="69"/>
  <c r="S22" i="69"/>
  <c r="S23" i="69"/>
  <c r="S24" i="69"/>
  <c r="S25" i="69"/>
  <c r="S26" i="69"/>
  <c r="S27" i="69"/>
  <c r="S28" i="69"/>
  <c r="S29" i="69"/>
  <c r="S30" i="69"/>
  <c r="S31" i="69"/>
  <c r="E12" i="64"/>
  <c r="F12" i="64"/>
  <c r="G12" i="64"/>
  <c r="I16" i="72"/>
  <c r="C12" i="72"/>
  <c r="AG8" i="70"/>
  <c r="AG9" i="70"/>
  <c r="AG10" i="70"/>
  <c r="AG11" i="70"/>
  <c r="AG12" i="70"/>
  <c r="AG13" i="70"/>
  <c r="AG14" i="70"/>
  <c r="AG15" i="70"/>
  <c r="AG16" i="70"/>
  <c r="AG17" i="70"/>
  <c r="AG18" i="70"/>
  <c r="AG19" i="70"/>
  <c r="AG20" i="70"/>
  <c r="AG21" i="70"/>
  <c r="AG22" i="70"/>
  <c r="AG23" i="70"/>
  <c r="AG24" i="70"/>
  <c r="AG25" i="70"/>
  <c r="AG26" i="70"/>
  <c r="AG27" i="70"/>
  <c r="AG28" i="70"/>
  <c r="AG29" i="70"/>
  <c r="AG30" i="70"/>
  <c r="AG31" i="70"/>
  <c r="AD8" i="70"/>
  <c r="AD9" i="70"/>
  <c r="AD10" i="70"/>
  <c r="AD11" i="70"/>
  <c r="AD12" i="70"/>
  <c r="AD13" i="70"/>
  <c r="AD14" i="70"/>
  <c r="AD15" i="70"/>
  <c r="AD16" i="70"/>
  <c r="AD17" i="70"/>
  <c r="AD18" i="70"/>
  <c r="AD19" i="70"/>
  <c r="AD20" i="70"/>
  <c r="AD21" i="70"/>
  <c r="AD22" i="70"/>
  <c r="AD23" i="70"/>
  <c r="AD24" i="70"/>
  <c r="AD25" i="70"/>
  <c r="AD26" i="70"/>
  <c r="AD27" i="70"/>
  <c r="AD28" i="70"/>
  <c r="AD29" i="70"/>
  <c r="AD30" i="70"/>
  <c r="AD31" i="70"/>
  <c r="AA8" i="70"/>
  <c r="AA9" i="70"/>
  <c r="AA10" i="70"/>
  <c r="AA11" i="70"/>
  <c r="AA12" i="70"/>
  <c r="AA13" i="70"/>
  <c r="AA14" i="70"/>
  <c r="AA15" i="70"/>
  <c r="AA16" i="70"/>
  <c r="AA17" i="70"/>
  <c r="AA18" i="70"/>
  <c r="AA19" i="70"/>
  <c r="AA20" i="70"/>
  <c r="AA21" i="70"/>
  <c r="AA22" i="70"/>
  <c r="AA23" i="70"/>
  <c r="AA24" i="70"/>
  <c r="AA25" i="70"/>
  <c r="AA26" i="70"/>
  <c r="AA27" i="70"/>
  <c r="AA28" i="70"/>
  <c r="AA29" i="70"/>
  <c r="AA30" i="70"/>
  <c r="AA31" i="70"/>
  <c r="X8" i="70"/>
  <c r="X9" i="70"/>
  <c r="X10" i="70"/>
  <c r="X11" i="70"/>
  <c r="X12" i="70"/>
  <c r="X13" i="70"/>
  <c r="X14" i="70"/>
  <c r="X15" i="70"/>
  <c r="X16" i="70"/>
  <c r="X17" i="70"/>
  <c r="X18" i="70"/>
  <c r="X19" i="70"/>
  <c r="X20" i="70"/>
  <c r="X21" i="70"/>
  <c r="X22" i="70"/>
  <c r="X23" i="70"/>
  <c r="X24" i="70"/>
  <c r="X25" i="70"/>
  <c r="X26" i="70"/>
  <c r="X27" i="70"/>
  <c r="X28" i="70"/>
  <c r="X29" i="70"/>
  <c r="X30" i="70"/>
  <c r="X31" i="70"/>
  <c r="U8" i="70"/>
  <c r="U9" i="70"/>
  <c r="U10" i="70"/>
  <c r="U11" i="70"/>
  <c r="U12" i="70"/>
  <c r="U13" i="70"/>
  <c r="U14" i="70"/>
  <c r="U15" i="70"/>
  <c r="U16" i="70"/>
  <c r="U17" i="70"/>
  <c r="U18" i="70"/>
  <c r="U19" i="70"/>
  <c r="U20" i="70"/>
  <c r="U21" i="70"/>
  <c r="U22" i="70"/>
  <c r="U23" i="70"/>
  <c r="U24" i="70"/>
  <c r="U25" i="70"/>
  <c r="U26" i="70"/>
  <c r="U27" i="70"/>
  <c r="U28" i="70"/>
  <c r="U29" i="70"/>
  <c r="U30" i="70"/>
  <c r="U31" i="70"/>
  <c r="R8" i="70"/>
  <c r="R9" i="70"/>
  <c r="R10" i="70"/>
  <c r="R11" i="70"/>
  <c r="R12" i="70"/>
  <c r="R13" i="70"/>
  <c r="R14" i="70"/>
  <c r="R15" i="70"/>
  <c r="R16" i="70"/>
  <c r="R17" i="70"/>
  <c r="R18" i="70"/>
  <c r="R19" i="70"/>
  <c r="R20" i="70"/>
  <c r="R21" i="70"/>
  <c r="R22" i="70"/>
  <c r="R23" i="70"/>
  <c r="R24" i="70"/>
  <c r="R25" i="70"/>
  <c r="R26" i="70"/>
  <c r="R27" i="70"/>
  <c r="R28" i="70"/>
  <c r="R29" i="70"/>
  <c r="R30" i="70"/>
  <c r="R31" i="70"/>
  <c r="O8" i="70"/>
  <c r="O9" i="70"/>
  <c r="O10" i="70"/>
  <c r="O11" i="70"/>
  <c r="O12" i="70"/>
  <c r="O13" i="70"/>
  <c r="O14" i="70"/>
  <c r="O15" i="70"/>
  <c r="O16" i="70"/>
  <c r="O17" i="70"/>
  <c r="O18" i="70"/>
  <c r="O19" i="70"/>
  <c r="O20" i="70"/>
  <c r="O21" i="70"/>
  <c r="O22" i="70"/>
  <c r="O23" i="70"/>
  <c r="O24" i="70"/>
  <c r="O25" i="70"/>
  <c r="O26" i="70"/>
  <c r="O27" i="70"/>
  <c r="O28" i="70"/>
  <c r="O29" i="70"/>
  <c r="O30" i="70"/>
  <c r="O31" i="70"/>
  <c r="L8" i="70"/>
  <c r="L9" i="70"/>
  <c r="L10" i="70"/>
  <c r="L11" i="70"/>
  <c r="L12" i="70"/>
  <c r="L13" i="70"/>
  <c r="L14" i="70"/>
  <c r="L15" i="70"/>
  <c r="L16" i="70"/>
  <c r="L17" i="70"/>
  <c r="L18" i="70"/>
  <c r="L19" i="70"/>
  <c r="L20" i="70"/>
  <c r="L21" i="70"/>
  <c r="L22" i="70"/>
  <c r="L23" i="70"/>
  <c r="L24" i="70"/>
  <c r="L25" i="70"/>
  <c r="L26" i="70"/>
  <c r="L27" i="70"/>
  <c r="L28" i="70"/>
  <c r="L29" i="70"/>
  <c r="L30" i="70"/>
  <c r="L31" i="70"/>
  <c r="AQ8" i="70"/>
  <c r="AQ9" i="70"/>
  <c r="AQ10" i="70"/>
  <c r="AQ11" i="70"/>
  <c r="AQ12" i="70"/>
  <c r="AQ13" i="70"/>
  <c r="AQ14" i="70"/>
  <c r="AQ15" i="70"/>
  <c r="AQ16" i="70"/>
  <c r="AQ17" i="70"/>
  <c r="AQ18" i="70"/>
  <c r="AQ19" i="70"/>
  <c r="AQ20" i="70"/>
  <c r="AQ21" i="70"/>
  <c r="AQ22" i="70"/>
  <c r="AQ23" i="70"/>
  <c r="AQ24" i="70"/>
  <c r="AQ25" i="70"/>
  <c r="AQ26" i="70"/>
  <c r="AQ27" i="70"/>
  <c r="AQ28" i="70"/>
  <c r="AQ29" i="70"/>
  <c r="AQ30" i="70"/>
  <c r="AQ31" i="70"/>
  <c r="AN8" i="70"/>
  <c r="AN9" i="70"/>
  <c r="AN10" i="70"/>
  <c r="AN11" i="70"/>
  <c r="AN12" i="70"/>
  <c r="AN13" i="70"/>
  <c r="AN14" i="70"/>
  <c r="AN15" i="70"/>
  <c r="AN16" i="70"/>
  <c r="AN17" i="70"/>
  <c r="AN18" i="70"/>
  <c r="AN19" i="70"/>
  <c r="AN20" i="70"/>
  <c r="AN21" i="70"/>
  <c r="AN22" i="70"/>
  <c r="AN23" i="70"/>
  <c r="AN24" i="70"/>
  <c r="AN25" i="70"/>
  <c r="AN26" i="70"/>
  <c r="AN27" i="70"/>
  <c r="AN28" i="70"/>
  <c r="AN29" i="70"/>
  <c r="AN30" i="70"/>
  <c r="AN31" i="70"/>
  <c r="AK8" i="70"/>
  <c r="AK9" i="70"/>
  <c r="AK10" i="70"/>
  <c r="AK11" i="70"/>
  <c r="AK12" i="70"/>
  <c r="AK13" i="70"/>
  <c r="AK14" i="70"/>
  <c r="AK15" i="70"/>
  <c r="AK16" i="70"/>
  <c r="AK17" i="70"/>
  <c r="AK18" i="70"/>
  <c r="AK19" i="70"/>
  <c r="AK20" i="70"/>
  <c r="AK21" i="70"/>
  <c r="AK22" i="70"/>
  <c r="AK23" i="70"/>
  <c r="AK24" i="70"/>
  <c r="AK25" i="70"/>
  <c r="AK26" i="70"/>
  <c r="AK27" i="70"/>
  <c r="AK28" i="70"/>
  <c r="AK29" i="70"/>
  <c r="AK30" i="70"/>
  <c r="AK31" i="70"/>
  <c r="I8" i="70"/>
  <c r="I9" i="70"/>
  <c r="I10" i="70"/>
  <c r="I11" i="70"/>
  <c r="I12" i="70"/>
  <c r="I13" i="70"/>
  <c r="I14" i="70"/>
  <c r="I15" i="70"/>
  <c r="I16" i="70"/>
  <c r="I17" i="70"/>
  <c r="I18" i="70"/>
  <c r="I19" i="70"/>
  <c r="I20" i="70"/>
  <c r="I21" i="70"/>
  <c r="I22" i="70"/>
  <c r="I23" i="70"/>
  <c r="I24" i="70"/>
  <c r="I25" i="70"/>
  <c r="I26" i="70"/>
  <c r="I27" i="70"/>
  <c r="I28" i="70"/>
  <c r="I29" i="70"/>
  <c r="I30" i="70"/>
  <c r="I31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AP8" i="70"/>
  <c r="AP9" i="70"/>
  <c r="AP10" i="70"/>
  <c r="AP11" i="70"/>
  <c r="AP12" i="70"/>
  <c r="AP13" i="70"/>
  <c r="AP14" i="70"/>
  <c r="AP15" i="70"/>
  <c r="AP16" i="70"/>
  <c r="AP17" i="70"/>
  <c r="AP18" i="70"/>
  <c r="AP19" i="70"/>
  <c r="AP20" i="70"/>
  <c r="AP21" i="70"/>
  <c r="AP22" i="70"/>
  <c r="AP23" i="70"/>
  <c r="AP24" i="70"/>
  <c r="AP25" i="70"/>
  <c r="AP26" i="70"/>
  <c r="AP27" i="70"/>
  <c r="AP28" i="70"/>
  <c r="AP29" i="70"/>
  <c r="AP30" i="70"/>
  <c r="AP31" i="70"/>
  <c r="AM8" i="70"/>
  <c r="AM9" i="70"/>
  <c r="AM10" i="70"/>
  <c r="AM11" i="70"/>
  <c r="AM12" i="70"/>
  <c r="AM13" i="70"/>
  <c r="AM14" i="70"/>
  <c r="AM15" i="70"/>
  <c r="AM16" i="70"/>
  <c r="AM17" i="70"/>
  <c r="AM18" i="70"/>
  <c r="AM19" i="70"/>
  <c r="AM20" i="70"/>
  <c r="AM21" i="70"/>
  <c r="AM22" i="70"/>
  <c r="AM23" i="70"/>
  <c r="AM24" i="70"/>
  <c r="AM25" i="70"/>
  <c r="AM26" i="70"/>
  <c r="AM27" i="70"/>
  <c r="AM28" i="70"/>
  <c r="AM29" i="70"/>
  <c r="AM30" i="70"/>
  <c r="AM31" i="70"/>
  <c r="AJ8" i="70"/>
  <c r="AJ9" i="70"/>
  <c r="AJ10" i="70"/>
  <c r="AJ11" i="70"/>
  <c r="AJ12" i="70"/>
  <c r="AJ13" i="70"/>
  <c r="AJ14" i="70"/>
  <c r="AJ15" i="70"/>
  <c r="AJ16" i="70"/>
  <c r="AJ17" i="70"/>
  <c r="AJ18" i="70"/>
  <c r="AJ19" i="70"/>
  <c r="AJ20" i="70"/>
  <c r="AJ21" i="70"/>
  <c r="AJ22" i="70"/>
  <c r="AJ23" i="70"/>
  <c r="AJ24" i="70"/>
  <c r="AJ25" i="70"/>
  <c r="AJ26" i="70"/>
  <c r="AJ27" i="70"/>
  <c r="AJ28" i="70"/>
  <c r="AJ29" i="70"/>
  <c r="AJ30" i="70"/>
  <c r="AJ31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30" i="70"/>
  <c r="AF31" i="70"/>
  <c r="AQ5" i="70"/>
  <c r="AP5" i="70"/>
  <c r="AO5" i="70"/>
  <c r="AN5" i="70"/>
  <c r="AM5" i="70"/>
  <c r="AL5" i="70"/>
  <c r="AK5" i="70"/>
  <c r="AJ5" i="70"/>
  <c r="AI5" i="70"/>
  <c r="AG5" i="70"/>
  <c r="AF5" i="70"/>
  <c r="AE5" i="70"/>
  <c r="AC8" i="70"/>
  <c r="AC9" i="70"/>
  <c r="AC10" i="70"/>
  <c r="AC11" i="70"/>
  <c r="AC12" i="70"/>
  <c r="AC13" i="70"/>
  <c r="AC14" i="70"/>
  <c r="AC15" i="70"/>
  <c r="AC16" i="70"/>
  <c r="AC17" i="70"/>
  <c r="AC18" i="70"/>
  <c r="AC19" i="70"/>
  <c r="AC20" i="70"/>
  <c r="AC21" i="70"/>
  <c r="AC22" i="70"/>
  <c r="AC23" i="70"/>
  <c r="AC24" i="70"/>
  <c r="AC25" i="70"/>
  <c r="AC26" i="70"/>
  <c r="AC27" i="70"/>
  <c r="AC28" i="70"/>
  <c r="AC29" i="70"/>
  <c r="AC30" i="70"/>
  <c r="AC31" i="70"/>
  <c r="AD5" i="70"/>
  <c r="AC5" i="70"/>
  <c r="AB5" i="70"/>
  <c r="Z8" i="70"/>
  <c r="Z9" i="70"/>
  <c r="Z10" i="70"/>
  <c r="Z11" i="70"/>
  <c r="Z12" i="70"/>
  <c r="Z13" i="70"/>
  <c r="Z14" i="70"/>
  <c r="Z15" i="70"/>
  <c r="Z16" i="70"/>
  <c r="Z17" i="70"/>
  <c r="Z18" i="70"/>
  <c r="Z19" i="70"/>
  <c r="Z20" i="70"/>
  <c r="Z21" i="70"/>
  <c r="Z22" i="70"/>
  <c r="Z23" i="70"/>
  <c r="Z24" i="70"/>
  <c r="Z25" i="70"/>
  <c r="Z26" i="70"/>
  <c r="Z27" i="70"/>
  <c r="Z28" i="70"/>
  <c r="Z29" i="70"/>
  <c r="Z30" i="70"/>
  <c r="Z31" i="70"/>
  <c r="AC6" i="70"/>
  <c r="AF6" i="70"/>
  <c r="AJ6" i="70"/>
  <c r="AM6" i="70"/>
  <c r="W31" i="70"/>
  <c r="T31" i="70"/>
  <c r="Q31" i="70"/>
  <c r="N31" i="70"/>
  <c r="K31" i="70"/>
  <c r="H31" i="70"/>
  <c r="E31" i="70"/>
  <c r="W30" i="70"/>
  <c r="T30" i="70"/>
  <c r="Q30" i="70"/>
  <c r="N30" i="70"/>
  <c r="K30" i="70"/>
  <c r="H30" i="70"/>
  <c r="E30" i="70"/>
  <c r="W29" i="70"/>
  <c r="T29" i="70"/>
  <c r="Q29" i="70"/>
  <c r="N29" i="70"/>
  <c r="K29" i="70"/>
  <c r="H29" i="70"/>
  <c r="E29" i="70"/>
  <c r="W28" i="70"/>
  <c r="T28" i="70"/>
  <c r="Q28" i="70"/>
  <c r="N28" i="70"/>
  <c r="K28" i="70"/>
  <c r="H28" i="70"/>
  <c r="E28" i="70"/>
  <c r="W27" i="70"/>
  <c r="T27" i="70"/>
  <c r="Q27" i="70"/>
  <c r="N27" i="70"/>
  <c r="K27" i="70"/>
  <c r="H27" i="70"/>
  <c r="E27" i="70"/>
  <c r="W26" i="70"/>
  <c r="T26" i="70"/>
  <c r="Q26" i="70"/>
  <c r="N26" i="70"/>
  <c r="K26" i="70"/>
  <c r="H26" i="70"/>
  <c r="E26" i="70"/>
  <c r="W25" i="70"/>
  <c r="T25" i="70"/>
  <c r="Q25" i="70"/>
  <c r="N25" i="70"/>
  <c r="K25" i="70"/>
  <c r="H25" i="70"/>
  <c r="E25" i="70"/>
  <c r="W24" i="70"/>
  <c r="T24" i="70"/>
  <c r="Q24" i="70"/>
  <c r="N24" i="70"/>
  <c r="K24" i="70"/>
  <c r="H24" i="70"/>
  <c r="E24" i="70"/>
  <c r="W23" i="70"/>
  <c r="T23" i="70"/>
  <c r="Q23" i="70"/>
  <c r="N23" i="70"/>
  <c r="K23" i="70"/>
  <c r="H23" i="70"/>
  <c r="E23" i="70"/>
  <c r="W22" i="70"/>
  <c r="T22" i="70"/>
  <c r="Q22" i="70"/>
  <c r="N22" i="70"/>
  <c r="K22" i="70"/>
  <c r="H22" i="70"/>
  <c r="E22" i="70"/>
  <c r="W21" i="70"/>
  <c r="T21" i="70"/>
  <c r="Q21" i="70"/>
  <c r="N21" i="70"/>
  <c r="K21" i="70"/>
  <c r="H21" i="70"/>
  <c r="E21" i="70"/>
  <c r="W20" i="70"/>
  <c r="T20" i="70"/>
  <c r="Q20" i="70"/>
  <c r="N20" i="70"/>
  <c r="K20" i="70"/>
  <c r="H20" i="70"/>
  <c r="E20" i="70"/>
  <c r="W19" i="70"/>
  <c r="T19" i="70"/>
  <c r="Q19" i="70"/>
  <c r="N19" i="70"/>
  <c r="K19" i="70"/>
  <c r="H19" i="70"/>
  <c r="E19" i="70"/>
  <c r="W18" i="70"/>
  <c r="T18" i="70"/>
  <c r="Q18" i="70"/>
  <c r="N18" i="70"/>
  <c r="K18" i="70"/>
  <c r="H18" i="70"/>
  <c r="E18" i="70"/>
  <c r="W17" i="70"/>
  <c r="T17" i="70"/>
  <c r="Q17" i="70"/>
  <c r="N17" i="70"/>
  <c r="K17" i="70"/>
  <c r="H17" i="70"/>
  <c r="E17" i="70"/>
  <c r="W16" i="70"/>
  <c r="T16" i="70"/>
  <c r="Q16" i="70"/>
  <c r="N16" i="70"/>
  <c r="K16" i="70"/>
  <c r="H16" i="70"/>
  <c r="E16" i="70"/>
  <c r="W15" i="70"/>
  <c r="T15" i="70"/>
  <c r="Q15" i="70"/>
  <c r="N15" i="70"/>
  <c r="K15" i="70"/>
  <c r="H15" i="70"/>
  <c r="E15" i="70"/>
  <c r="W14" i="70"/>
  <c r="T14" i="70"/>
  <c r="Q14" i="70"/>
  <c r="N14" i="70"/>
  <c r="K14" i="70"/>
  <c r="H14" i="70"/>
  <c r="E14" i="70"/>
  <c r="W13" i="70"/>
  <c r="T13" i="70"/>
  <c r="Q13" i="70"/>
  <c r="N13" i="70"/>
  <c r="K13" i="70"/>
  <c r="H13" i="70"/>
  <c r="E13" i="70"/>
  <c r="W12" i="70"/>
  <c r="T12" i="70"/>
  <c r="Q12" i="70"/>
  <c r="N12" i="70"/>
  <c r="K12" i="70"/>
  <c r="H12" i="70"/>
  <c r="E12" i="70"/>
  <c r="W11" i="70"/>
  <c r="T11" i="70"/>
  <c r="Q11" i="70"/>
  <c r="N11" i="70"/>
  <c r="K11" i="70"/>
  <c r="H11" i="70"/>
  <c r="E11" i="70"/>
  <c r="W10" i="70"/>
  <c r="T10" i="70"/>
  <c r="Q10" i="70"/>
  <c r="N10" i="70"/>
  <c r="K10" i="70"/>
  <c r="H10" i="70"/>
  <c r="E10" i="70"/>
  <c r="W9" i="70"/>
  <c r="T9" i="70"/>
  <c r="Q9" i="70"/>
  <c r="N9" i="70"/>
  <c r="K9" i="70"/>
  <c r="H9" i="70"/>
  <c r="E9" i="70"/>
  <c r="W8" i="70"/>
  <c r="T8" i="70"/>
  <c r="Q8" i="70"/>
  <c r="N8" i="70"/>
  <c r="K8" i="70"/>
  <c r="H8" i="70"/>
  <c r="E8" i="70"/>
  <c r="AP6" i="70"/>
  <c r="Z5" i="70"/>
  <c r="Y5" i="70"/>
  <c r="Z6" i="70"/>
  <c r="W5" i="70"/>
  <c r="V5" i="70"/>
  <c r="W6" i="70"/>
  <c r="T5" i="70"/>
  <c r="S5" i="70"/>
  <c r="T6" i="70"/>
  <c r="Q5" i="70"/>
  <c r="P5" i="70"/>
  <c r="Q6" i="70"/>
  <c r="N5" i="70"/>
  <c r="M5" i="70"/>
  <c r="N6" i="70"/>
  <c r="K5" i="70"/>
  <c r="J5" i="70"/>
  <c r="K6" i="70"/>
  <c r="H5" i="70"/>
  <c r="G5" i="70"/>
  <c r="H6" i="70"/>
  <c r="E5" i="70"/>
  <c r="D5" i="70"/>
  <c r="E6" i="70"/>
  <c r="B6" i="70"/>
  <c r="AA5" i="70"/>
  <c r="X5" i="70"/>
  <c r="U5" i="70"/>
  <c r="R5" i="70"/>
  <c r="O5" i="70"/>
  <c r="L5" i="70"/>
  <c r="I5" i="70"/>
  <c r="F5" i="70"/>
  <c r="B5" i="70"/>
  <c r="V8" i="69"/>
  <c r="V9" i="69"/>
  <c r="V10" i="69"/>
  <c r="V11" i="69"/>
  <c r="V12" i="69"/>
  <c r="V13" i="69"/>
  <c r="V14" i="69"/>
  <c r="V15" i="69"/>
  <c r="V16" i="69"/>
  <c r="V17" i="69"/>
  <c r="V18" i="69"/>
  <c r="V19" i="69"/>
  <c r="V20" i="69"/>
  <c r="V21" i="69"/>
  <c r="V22" i="69"/>
  <c r="V23" i="69"/>
  <c r="V24" i="69"/>
  <c r="V25" i="69"/>
  <c r="V26" i="69"/>
  <c r="V27" i="69"/>
  <c r="V28" i="69"/>
  <c r="V29" i="69"/>
  <c r="V30" i="69"/>
  <c r="V31" i="69"/>
  <c r="P8" i="69"/>
  <c r="P9" i="69"/>
  <c r="P10" i="69"/>
  <c r="P11" i="69"/>
  <c r="P12" i="69"/>
  <c r="P13" i="69"/>
  <c r="P14" i="69"/>
  <c r="P15" i="69"/>
  <c r="P16" i="69"/>
  <c r="P17" i="69"/>
  <c r="P18" i="69"/>
  <c r="P19" i="69"/>
  <c r="P20" i="69"/>
  <c r="P21" i="69"/>
  <c r="P22" i="69"/>
  <c r="P23" i="69"/>
  <c r="P24" i="69"/>
  <c r="P25" i="69"/>
  <c r="P26" i="69"/>
  <c r="P27" i="69"/>
  <c r="P28" i="69"/>
  <c r="P29" i="69"/>
  <c r="P30" i="69"/>
  <c r="P31" i="69"/>
  <c r="M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22" i="69"/>
  <c r="M23" i="69"/>
  <c r="M24" i="69"/>
  <c r="M25" i="69"/>
  <c r="M26" i="69"/>
  <c r="M27" i="69"/>
  <c r="M28" i="69"/>
  <c r="M29" i="69"/>
  <c r="M30" i="69"/>
  <c r="M31" i="69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28" i="69"/>
  <c r="J29" i="69"/>
  <c r="J30" i="69"/>
  <c r="J31" i="69"/>
  <c r="F8" i="69"/>
  <c r="F9" i="69"/>
  <c r="F10" i="69"/>
  <c r="F11" i="69"/>
  <c r="F12" i="69"/>
  <c r="F13" i="69"/>
  <c r="F14" i="69"/>
  <c r="F15" i="69"/>
  <c r="F16" i="69"/>
  <c r="F17" i="69"/>
  <c r="F18" i="69"/>
  <c r="F19" i="69"/>
  <c r="F20" i="69"/>
  <c r="F21" i="69"/>
  <c r="F22" i="69"/>
  <c r="F23" i="69"/>
  <c r="F24" i="69"/>
  <c r="F25" i="69"/>
  <c r="F26" i="69"/>
  <c r="F27" i="69"/>
  <c r="F28" i="69"/>
  <c r="F29" i="69"/>
  <c r="F30" i="69"/>
  <c r="F31" i="69"/>
  <c r="U31" i="69"/>
  <c r="R31" i="69"/>
  <c r="O31" i="69"/>
  <c r="L31" i="69"/>
  <c r="I31" i="69"/>
  <c r="E31" i="69"/>
  <c r="U30" i="69"/>
  <c r="R30" i="69"/>
  <c r="O30" i="69"/>
  <c r="L30" i="69"/>
  <c r="I30" i="69"/>
  <c r="E30" i="69"/>
  <c r="U29" i="69"/>
  <c r="R29" i="69"/>
  <c r="O29" i="69"/>
  <c r="L29" i="69"/>
  <c r="I29" i="69"/>
  <c r="E29" i="69"/>
  <c r="U28" i="69"/>
  <c r="R28" i="69"/>
  <c r="O28" i="69"/>
  <c r="L28" i="69"/>
  <c r="I28" i="69"/>
  <c r="E28" i="69"/>
  <c r="U27" i="69"/>
  <c r="R27" i="69"/>
  <c r="O27" i="69"/>
  <c r="L27" i="69"/>
  <c r="I27" i="69"/>
  <c r="E27" i="69"/>
  <c r="U26" i="69"/>
  <c r="R26" i="69"/>
  <c r="O26" i="69"/>
  <c r="L26" i="69"/>
  <c r="I26" i="69"/>
  <c r="E26" i="69"/>
  <c r="U25" i="69"/>
  <c r="R25" i="69"/>
  <c r="O25" i="69"/>
  <c r="L25" i="69"/>
  <c r="I25" i="69"/>
  <c r="E25" i="69"/>
  <c r="U24" i="69"/>
  <c r="R24" i="69"/>
  <c r="O24" i="69"/>
  <c r="L24" i="69"/>
  <c r="I24" i="69"/>
  <c r="E24" i="69"/>
  <c r="U23" i="69"/>
  <c r="R23" i="69"/>
  <c r="O23" i="69"/>
  <c r="L23" i="69"/>
  <c r="I23" i="69"/>
  <c r="E23" i="69"/>
  <c r="U22" i="69"/>
  <c r="R22" i="69"/>
  <c r="O22" i="69"/>
  <c r="L22" i="69"/>
  <c r="I22" i="69"/>
  <c r="E22" i="69"/>
  <c r="U21" i="69"/>
  <c r="R21" i="69"/>
  <c r="O21" i="69"/>
  <c r="L21" i="69"/>
  <c r="I21" i="69"/>
  <c r="E21" i="69"/>
  <c r="U20" i="69"/>
  <c r="R20" i="69"/>
  <c r="O20" i="69"/>
  <c r="L20" i="69"/>
  <c r="I20" i="69"/>
  <c r="E20" i="69"/>
  <c r="U19" i="69"/>
  <c r="R19" i="69"/>
  <c r="O19" i="69"/>
  <c r="L19" i="69"/>
  <c r="I19" i="69"/>
  <c r="E19" i="69"/>
  <c r="U18" i="69"/>
  <c r="R18" i="69"/>
  <c r="O18" i="69"/>
  <c r="L18" i="69"/>
  <c r="I18" i="69"/>
  <c r="E18" i="69"/>
  <c r="U17" i="69"/>
  <c r="R17" i="69"/>
  <c r="O17" i="69"/>
  <c r="L17" i="69"/>
  <c r="I17" i="69"/>
  <c r="E17" i="69"/>
  <c r="U16" i="69"/>
  <c r="R16" i="69"/>
  <c r="O16" i="69"/>
  <c r="L16" i="69"/>
  <c r="I16" i="69"/>
  <c r="E16" i="69"/>
  <c r="U15" i="69"/>
  <c r="R15" i="69"/>
  <c r="O15" i="69"/>
  <c r="L15" i="69"/>
  <c r="I15" i="69"/>
  <c r="E15" i="69"/>
  <c r="U14" i="69"/>
  <c r="R14" i="69"/>
  <c r="O14" i="69"/>
  <c r="L14" i="69"/>
  <c r="I14" i="69"/>
  <c r="E14" i="69"/>
  <c r="U13" i="69"/>
  <c r="R13" i="69"/>
  <c r="O13" i="69"/>
  <c r="L13" i="69"/>
  <c r="I13" i="69"/>
  <c r="E13" i="69"/>
  <c r="U12" i="69"/>
  <c r="R12" i="69"/>
  <c r="O12" i="69"/>
  <c r="L12" i="69"/>
  <c r="I12" i="69"/>
  <c r="E12" i="69"/>
  <c r="U11" i="69"/>
  <c r="R11" i="69"/>
  <c r="O11" i="69"/>
  <c r="L11" i="69"/>
  <c r="I11" i="69"/>
  <c r="E11" i="69"/>
  <c r="U10" i="69"/>
  <c r="R10" i="69"/>
  <c r="O10" i="69"/>
  <c r="L10" i="69"/>
  <c r="I10" i="69"/>
  <c r="E10" i="69"/>
  <c r="U9" i="69"/>
  <c r="R9" i="69"/>
  <c r="O9" i="69"/>
  <c r="L9" i="69"/>
  <c r="I9" i="69"/>
  <c r="E9" i="69"/>
  <c r="U8" i="69"/>
  <c r="R8" i="69"/>
  <c r="O8" i="69"/>
  <c r="L8" i="69"/>
  <c r="I8" i="69"/>
  <c r="E8" i="69"/>
  <c r="U5" i="69"/>
  <c r="T5" i="69"/>
  <c r="U6" i="69"/>
  <c r="R5" i="69"/>
  <c r="Q5" i="69"/>
  <c r="R6" i="69"/>
  <c r="O5" i="69"/>
  <c r="N5" i="69"/>
  <c r="O6" i="69"/>
  <c r="L5" i="69"/>
  <c r="K5" i="69"/>
  <c r="L6" i="69"/>
  <c r="I5" i="69"/>
  <c r="H5" i="69"/>
  <c r="I6" i="69"/>
  <c r="E5" i="69"/>
  <c r="D5" i="69"/>
  <c r="E6" i="69"/>
  <c r="B6" i="69"/>
  <c r="V5" i="69"/>
  <c r="S5" i="69"/>
  <c r="P5" i="69"/>
  <c r="M5" i="69"/>
  <c r="J5" i="69"/>
  <c r="F5" i="69"/>
  <c r="B5" i="69"/>
  <c r="AA10" i="59"/>
  <c r="AA11" i="59"/>
  <c r="AA17" i="59"/>
  <c r="AA18" i="59"/>
  <c r="AA12" i="59"/>
  <c r="AA13" i="59"/>
  <c r="AA14" i="59"/>
  <c r="AA15" i="59"/>
  <c r="AA16" i="59"/>
  <c r="AA19" i="59"/>
  <c r="AA20" i="59"/>
  <c r="AA21" i="59"/>
  <c r="AA22" i="59"/>
  <c r="AA23" i="59"/>
  <c r="AA24" i="59"/>
  <c r="AA25" i="59"/>
  <c r="AA26" i="59"/>
  <c r="AA27" i="59"/>
  <c r="AA28" i="59"/>
  <c r="AA29" i="59"/>
  <c r="AA30" i="59"/>
  <c r="AA31" i="59"/>
  <c r="AA32" i="59"/>
  <c r="AA33" i="59"/>
  <c r="Q10" i="59"/>
  <c r="Z10" i="59"/>
  <c r="Z11" i="59"/>
  <c r="Z17" i="59"/>
  <c r="Z18" i="59"/>
  <c r="Z12" i="59"/>
  <c r="Z13" i="59"/>
  <c r="Z14" i="59"/>
  <c r="Z15" i="59"/>
  <c r="Z16" i="59"/>
  <c r="Z19" i="59"/>
  <c r="Z20" i="59"/>
  <c r="Z21" i="59"/>
  <c r="Z22" i="59"/>
  <c r="Z23" i="59"/>
  <c r="Z24" i="59"/>
  <c r="Z25" i="59"/>
  <c r="Z26" i="59"/>
  <c r="Z27" i="59"/>
  <c r="Z28" i="59"/>
  <c r="Z29" i="59"/>
  <c r="Z30" i="59"/>
  <c r="Z31" i="59"/>
  <c r="Z32" i="59"/>
  <c r="Z33" i="59"/>
  <c r="L10" i="59"/>
  <c r="I10" i="59"/>
  <c r="F10" i="59"/>
  <c r="L11" i="59"/>
  <c r="L12" i="59"/>
  <c r="L13" i="59"/>
  <c r="L14" i="59"/>
  <c r="L15" i="59"/>
  <c r="L16" i="59"/>
  <c r="L17" i="59"/>
  <c r="I11" i="59"/>
  <c r="I12" i="59"/>
  <c r="I13" i="59"/>
  <c r="I14" i="59"/>
  <c r="I15" i="59"/>
  <c r="I16" i="59"/>
  <c r="I17" i="59"/>
  <c r="F11" i="59"/>
  <c r="F12" i="59"/>
  <c r="F13" i="59"/>
  <c r="F14" i="59"/>
  <c r="F15" i="59"/>
  <c r="F16" i="59"/>
  <c r="F17" i="59"/>
  <c r="D7" i="59"/>
  <c r="E10" i="59"/>
  <c r="E11" i="59"/>
  <c r="E12" i="59"/>
  <c r="E13" i="59"/>
  <c r="E14" i="59"/>
  <c r="E15" i="59"/>
  <c r="E16" i="59"/>
  <c r="E17" i="59"/>
  <c r="E7" i="59"/>
  <c r="E8" i="59"/>
  <c r="H10" i="59"/>
  <c r="H11" i="59"/>
  <c r="H12" i="59"/>
  <c r="H13" i="59"/>
  <c r="H14" i="59"/>
  <c r="H15" i="59"/>
  <c r="H16" i="59"/>
  <c r="H17" i="59"/>
  <c r="H7" i="59"/>
  <c r="G7" i="59"/>
  <c r="H8" i="59"/>
  <c r="K10" i="59"/>
  <c r="K11" i="59"/>
  <c r="K12" i="59"/>
  <c r="K13" i="59"/>
  <c r="K14" i="59"/>
  <c r="K15" i="59"/>
  <c r="K16" i="59"/>
  <c r="K17" i="59"/>
  <c r="K7" i="59"/>
  <c r="J7" i="59"/>
  <c r="K8" i="59"/>
  <c r="O7" i="59"/>
  <c r="P10" i="59"/>
  <c r="P11" i="59"/>
  <c r="P12" i="59"/>
  <c r="P13" i="59"/>
  <c r="P14" i="59"/>
  <c r="P15" i="59"/>
  <c r="P16" i="59"/>
  <c r="P17" i="59"/>
  <c r="P7" i="59"/>
  <c r="P8" i="59"/>
  <c r="B8" i="59"/>
  <c r="I7" i="59"/>
  <c r="L7" i="59"/>
  <c r="B7" i="59"/>
  <c r="F7" i="59"/>
  <c r="V8" i="68"/>
  <c r="V9" i="68"/>
  <c r="V10" i="68"/>
  <c r="V11" i="68"/>
  <c r="V12" i="68"/>
  <c r="V13" i="68"/>
  <c r="V14" i="68"/>
  <c r="V15" i="68"/>
  <c r="V16" i="68"/>
  <c r="V17" i="68"/>
  <c r="V18" i="68"/>
  <c r="V19" i="68"/>
  <c r="V20" i="68"/>
  <c r="V21" i="68"/>
  <c r="V22" i="68"/>
  <c r="V23" i="68"/>
  <c r="V24" i="68"/>
  <c r="V25" i="68"/>
  <c r="V26" i="68"/>
  <c r="V27" i="68"/>
  <c r="V28" i="68"/>
  <c r="V29" i="68"/>
  <c r="V30" i="68"/>
  <c r="V31" i="68"/>
  <c r="S8" i="68"/>
  <c r="S9" i="68"/>
  <c r="S10" i="68"/>
  <c r="S11" i="68"/>
  <c r="S12" i="68"/>
  <c r="S13" i="68"/>
  <c r="S14" i="68"/>
  <c r="S15" i="68"/>
  <c r="S16" i="68"/>
  <c r="S17" i="68"/>
  <c r="S18" i="68"/>
  <c r="S19" i="68"/>
  <c r="S20" i="68"/>
  <c r="S21" i="68"/>
  <c r="S22" i="68"/>
  <c r="S23" i="68"/>
  <c r="S24" i="68"/>
  <c r="S25" i="68"/>
  <c r="S26" i="68"/>
  <c r="S27" i="68"/>
  <c r="S28" i="68"/>
  <c r="S29" i="68"/>
  <c r="S30" i="68"/>
  <c r="S31" i="68"/>
  <c r="P8" i="68"/>
  <c r="P9" i="68"/>
  <c r="P10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8"/>
  <c r="M31" i="68"/>
  <c r="J8" i="68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U31" i="68"/>
  <c r="R31" i="68"/>
  <c r="O31" i="68"/>
  <c r="L31" i="68"/>
  <c r="I31" i="68"/>
  <c r="F31" i="68"/>
  <c r="U30" i="68"/>
  <c r="R30" i="68"/>
  <c r="O30" i="68"/>
  <c r="L30" i="68"/>
  <c r="I30" i="68"/>
  <c r="F30" i="68"/>
  <c r="U29" i="68"/>
  <c r="R29" i="68"/>
  <c r="O29" i="68"/>
  <c r="L29" i="68"/>
  <c r="I29" i="68"/>
  <c r="F29" i="68"/>
  <c r="U28" i="68"/>
  <c r="R28" i="68"/>
  <c r="O28" i="68"/>
  <c r="L28" i="68"/>
  <c r="I28" i="68"/>
  <c r="F28" i="68"/>
  <c r="U27" i="68"/>
  <c r="R27" i="68"/>
  <c r="O27" i="68"/>
  <c r="L27" i="68"/>
  <c r="I27" i="68"/>
  <c r="F27" i="68"/>
  <c r="U26" i="68"/>
  <c r="R26" i="68"/>
  <c r="O26" i="68"/>
  <c r="L26" i="68"/>
  <c r="I26" i="68"/>
  <c r="F26" i="68"/>
  <c r="U25" i="68"/>
  <c r="R25" i="68"/>
  <c r="O25" i="68"/>
  <c r="L25" i="68"/>
  <c r="I25" i="68"/>
  <c r="F25" i="68"/>
  <c r="U24" i="68"/>
  <c r="R24" i="68"/>
  <c r="O24" i="68"/>
  <c r="L24" i="68"/>
  <c r="I24" i="68"/>
  <c r="F24" i="68"/>
  <c r="U23" i="68"/>
  <c r="R23" i="68"/>
  <c r="O23" i="68"/>
  <c r="L23" i="68"/>
  <c r="I23" i="68"/>
  <c r="F23" i="68"/>
  <c r="U22" i="68"/>
  <c r="R22" i="68"/>
  <c r="O22" i="68"/>
  <c r="L22" i="68"/>
  <c r="I22" i="68"/>
  <c r="F22" i="68"/>
  <c r="U21" i="68"/>
  <c r="R21" i="68"/>
  <c r="O21" i="68"/>
  <c r="L21" i="68"/>
  <c r="I21" i="68"/>
  <c r="F21" i="68"/>
  <c r="U20" i="68"/>
  <c r="R20" i="68"/>
  <c r="O20" i="68"/>
  <c r="L20" i="68"/>
  <c r="I20" i="68"/>
  <c r="F20" i="68"/>
  <c r="U19" i="68"/>
  <c r="R19" i="68"/>
  <c r="O19" i="68"/>
  <c r="L19" i="68"/>
  <c r="I19" i="68"/>
  <c r="F19" i="68"/>
  <c r="U18" i="68"/>
  <c r="R18" i="68"/>
  <c r="O18" i="68"/>
  <c r="L18" i="68"/>
  <c r="I18" i="68"/>
  <c r="F18" i="68"/>
  <c r="U17" i="68"/>
  <c r="R17" i="68"/>
  <c r="O17" i="68"/>
  <c r="L17" i="68"/>
  <c r="I17" i="68"/>
  <c r="F17" i="68"/>
  <c r="U16" i="68"/>
  <c r="R16" i="68"/>
  <c r="O16" i="68"/>
  <c r="L16" i="68"/>
  <c r="I16" i="68"/>
  <c r="F16" i="68"/>
  <c r="U15" i="68"/>
  <c r="R15" i="68"/>
  <c r="O15" i="68"/>
  <c r="L15" i="68"/>
  <c r="I15" i="68"/>
  <c r="F15" i="68"/>
  <c r="U14" i="68"/>
  <c r="R14" i="68"/>
  <c r="O14" i="68"/>
  <c r="L14" i="68"/>
  <c r="I14" i="68"/>
  <c r="F14" i="68"/>
  <c r="U13" i="68"/>
  <c r="R13" i="68"/>
  <c r="O13" i="68"/>
  <c r="L13" i="68"/>
  <c r="I13" i="68"/>
  <c r="F13" i="68"/>
  <c r="U12" i="68"/>
  <c r="R12" i="68"/>
  <c r="O12" i="68"/>
  <c r="L12" i="68"/>
  <c r="I12" i="68"/>
  <c r="F12" i="68"/>
  <c r="U11" i="68"/>
  <c r="R11" i="68"/>
  <c r="O11" i="68"/>
  <c r="L11" i="68"/>
  <c r="I11" i="68"/>
  <c r="F11" i="68"/>
  <c r="U10" i="68"/>
  <c r="R10" i="68"/>
  <c r="O10" i="68"/>
  <c r="L10" i="68"/>
  <c r="I10" i="68"/>
  <c r="F10" i="68"/>
  <c r="U9" i="68"/>
  <c r="R9" i="68"/>
  <c r="O9" i="68"/>
  <c r="L9" i="68"/>
  <c r="I9" i="68"/>
  <c r="F9" i="68"/>
  <c r="U8" i="68"/>
  <c r="R8" i="68"/>
  <c r="O8" i="68"/>
  <c r="L8" i="68"/>
  <c r="I8" i="68"/>
  <c r="F8" i="68"/>
  <c r="U5" i="68"/>
  <c r="T5" i="68"/>
  <c r="U6" i="68"/>
  <c r="R5" i="68"/>
  <c r="Q5" i="68"/>
  <c r="R6" i="68"/>
  <c r="O5" i="68"/>
  <c r="N5" i="68"/>
  <c r="O6" i="68"/>
  <c r="L5" i="68"/>
  <c r="K5" i="68"/>
  <c r="L6" i="68"/>
  <c r="I5" i="68"/>
  <c r="H5" i="68"/>
  <c r="I6" i="68"/>
  <c r="F5" i="68"/>
  <c r="E5" i="68"/>
  <c r="F6" i="68"/>
  <c r="B6" i="68"/>
  <c r="V5" i="68"/>
  <c r="S5" i="68"/>
  <c r="P5" i="68"/>
  <c r="M5" i="68"/>
  <c r="J5" i="68"/>
  <c r="G5" i="68"/>
  <c r="B5" i="68"/>
  <c r="L7" i="58"/>
  <c r="O7" i="58"/>
  <c r="D7" i="58"/>
  <c r="I7" i="58"/>
  <c r="F10" i="58"/>
  <c r="E10" i="58"/>
  <c r="F11" i="58"/>
  <c r="E11" i="58"/>
  <c r="E7" i="58"/>
  <c r="E8" i="58"/>
  <c r="B8" i="58"/>
  <c r="F7" i="58"/>
  <c r="B7" i="58"/>
  <c r="J10" i="58"/>
  <c r="J11" i="58"/>
  <c r="J12" i="58"/>
  <c r="J13" i="58"/>
  <c r="J14" i="58"/>
  <c r="J15" i="58"/>
  <c r="J16" i="58"/>
  <c r="J17" i="58"/>
  <c r="J7" i="58"/>
  <c r="J8" i="58"/>
  <c r="M10" i="66"/>
  <c r="J8" i="66"/>
  <c r="K8" i="66"/>
  <c r="L8" i="66"/>
  <c r="M8" i="66"/>
  <c r="N8" i="66"/>
  <c r="J9" i="66"/>
  <c r="K9" i="66"/>
  <c r="L9" i="66"/>
  <c r="M9" i="66"/>
  <c r="N9" i="66"/>
  <c r="J10" i="66"/>
  <c r="K10" i="66"/>
  <c r="L10" i="66"/>
  <c r="N10" i="66"/>
  <c r="J11" i="66"/>
  <c r="K11" i="66"/>
  <c r="L11" i="66"/>
  <c r="M11" i="66"/>
  <c r="N11" i="66"/>
  <c r="J12" i="66"/>
  <c r="K12" i="66"/>
  <c r="L12" i="66"/>
  <c r="M12" i="66"/>
  <c r="N12" i="66"/>
  <c r="I5" i="66"/>
  <c r="G10" i="65"/>
  <c r="F10" i="65"/>
  <c r="U12" i="66"/>
  <c r="T12" i="66"/>
  <c r="S12" i="66"/>
  <c r="R12" i="66"/>
  <c r="Q12" i="66"/>
  <c r="U11" i="66"/>
  <c r="T11" i="66"/>
  <c r="S11" i="66"/>
  <c r="R11" i="66"/>
  <c r="Q11" i="66"/>
  <c r="U10" i="66"/>
  <c r="T10" i="66"/>
  <c r="S10" i="66"/>
  <c r="R10" i="66"/>
  <c r="Q10" i="66"/>
  <c r="U9" i="66"/>
  <c r="T9" i="66"/>
  <c r="S9" i="66"/>
  <c r="R9" i="66"/>
  <c r="Q9" i="66"/>
  <c r="U8" i="66"/>
  <c r="T8" i="66"/>
  <c r="S8" i="66"/>
  <c r="R8" i="66"/>
  <c r="Q8" i="66"/>
  <c r="M10" i="65"/>
  <c r="L10" i="65"/>
  <c r="M11" i="65"/>
  <c r="L11" i="65"/>
  <c r="M12" i="65"/>
  <c r="L12" i="65"/>
  <c r="M13" i="65"/>
  <c r="L13" i="65"/>
  <c r="M14" i="65"/>
  <c r="L14" i="65"/>
  <c r="M15" i="65"/>
  <c r="L15" i="65"/>
  <c r="M16" i="65"/>
  <c r="L16" i="65"/>
  <c r="M17" i="65"/>
  <c r="L17" i="65"/>
  <c r="M18" i="65"/>
  <c r="L18" i="65"/>
  <c r="M19" i="65"/>
  <c r="L19" i="65"/>
  <c r="M20" i="65"/>
  <c r="L20" i="65"/>
  <c r="M21" i="65"/>
  <c r="L21" i="65"/>
  <c r="M22" i="65"/>
  <c r="L22" i="65"/>
  <c r="M23" i="65"/>
  <c r="L23" i="65"/>
  <c r="M24" i="65"/>
  <c r="L24" i="65"/>
  <c r="M25" i="65"/>
  <c r="L25" i="65"/>
  <c r="M26" i="65"/>
  <c r="L26" i="65"/>
  <c r="M27" i="65"/>
  <c r="L27" i="65"/>
  <c r="M28" i="65"/>
  <c r="L28" i="65"/>
  <c r="M29" i="65"/>
  <c r="L29" i="65"/>
  <c r="M30" i="65"/>
  <c r="L30" i="65"/>
  <c r="M31" i="65"/>
  <c r="L31" i="65"/>
  <c r="M32" i="65"/>
  <c r="L32" i="65"/>
  <c r="M33" i="65"/>
  <c r="L33" i="65"/>
  <c r="J10" i="65"/>
  <c r="I10" i="65"/>
  <c r="J11" i="65"/>
  <c r="I11" i="65"/>
  <c r="J12" i="65"/>
  <c r="I12" i="65"/>
  <c r="J13" i="65"/>
  <c r="I13" i="65"/>
  <c r="J14" i="65"/>
  <c r="I14" i="65"/>
  <c r="J15" i="65"/>
  <c r="I15" i="65"/>
  <c r="J16" i="65"/>
  <c r="I16" i="65"/>
  <c r="J17" i="65"/>
  <c r="I17" i="65"/>
  <c r="J18" i="65"/>
  <c r="I18" i="65"/>
  <c r="J19" i="65"/>
  <c r="I19" i="65"/>
  <c r="J20" i="65"/>
  <c r="I20" i="65"/>
  <c r="J21" i="65"/>
  <c r="I21" i="65"/>
  <c r="J22" i="65"/>
  <c r="I22" i="65"/>
  <c r="J23" i="65"/>
  <c r="I23" i="65"/>
  <c r="J24" i="65"/>
  <c r="I24" i="65"/>
  <c r="J25" i="65"/>
  <c r="I25" i="65"/>
  <c r="J26" i="65"/>
  <c r="I26" i="65"/>
  <c r="J27" i="65"/>
  <c r="I27" i="65"/>
  <c r="J28" i="65"/>
  <c r="I28" i="65"/>
  <c r="J29" i="65"/>
  <c r="I29" i="65"/>
  <c r="J30" i="65"/>
  <c r="I30" i="65"/>
  <c r="J31" i="65"/>
  <c r="I31" i="65"/>
  <c r="J32" i="65"/>
  <c r="I32" i="65"/>
  <c r="J33" i="65"/>
  <c r="I33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K8" i="52"/>
  <c r="J8" i="52"/>
  <c r="L7" i="65"/>
  <c r="K7" i="65"/>
  <c r="L8" i="65"/>
  <c r="I7" i="65"/>
  <c r="H7" i="65"/>
  <c r="I8" i="65"/>
  <c r="F7" i="65"/>
  <c r="E7" i="65"/>
  <c r="F8" i="65"/>
  <c r="B8" i="65"/>
  <c r="M7" i="65"/>
  <c r="J7" i="65"/>
  <c r="G7" i="65"/>
  <c r="B7" i="65"/>
  <c r="D11" i="64"/>
  <c r="E11" i="64"/>
  <c r="F11" i="64"/>
  <c r="G11" i="64"/>
  <c r="B11" i="64"/>
  <c r="B4" i="64"/>
  <c r="D12" i="64"/>
  <c r="Q11" i="59"/>
  <c r="Q12" i="59"/>
  <c r="Q13" i="59"/>
  <c r="Q14" i="59"/>
  <c r="Q15" i="59"/>
  <c r="Q16" i="59"/>
  <c r="Q17" i="59"/>
  <c r="K9" i="52"/>
  <c r="J9" i="52"/>
  <c r="K10" i="52"/>
  <c r="J10" i="52"/>
  <c r="K11" i="52"/>
  <c r="J11" i="52"/>
  <c r="K12" i="52"/>
  <c r="J12" i="52"/>
  <c r="K13" i="52"/>
  <c r="J13" i="52"/>
  <c r="K14" i="52"/>
  <c r="J14" i="52"/>
  <c r="K15" i="52"/>
  <c r="J15" i="52"/>
  <c r="K16" i="52"/>
  <c r="J16" i="52"/>
  <c r="K17" i="52"/>
  <c r="J17" i="52"/>
  <c r="K18" i="52"/>
  <c r="J18" i="52"/>
  <c r="K19" i="52"/>
  <c r="J19" i="52"/>
  <c r="K20" i="52"/>
  <c r="J20" i="52"/>
  <c r="K21" i="52"/>
  <c r="J21" i="52"/>
  <c r="K22" i="52"/>
  <c r="J22" i="52"/>
  <c r="K23" i="52"/>
  <c r="J23" i="52"/>
  <c r="K24" i="52"/>
  <c r="J24" i="52"/>
  <c r="K25" i="52"/>
  <c r="J25" i="52"/>
  <c r="K26" i="52"/>
  <c r="J26" i="52"/>
  <c r="K27" i="52"/>
  <c r="J27" i="52"/>
  <c r="K28" i="52"/>
  <c r="J28" i="52"/>
  <c r="K29" i="52"/>
  <c r="J29" i="52"/>
  <c r="K30" i="52"/>
  <c r="J30" i="52"/>
  <c r="K31" i="52"/>
  <c r="J31" i="52"/>
  <c r="J5" i="52"/>
  <c r="I5" i="52"/>
  <c r="J6" i="52"/>
  <c r="N8" i="52"/>
  <c r="M8" i="52"/>
  <c r="N9" i="52"/>
  <c r="M9" i="52"/>
  <c r="N10" i="52"/>
  <c r="M10" i="52"/>
  <c r="N11" i="52"/>
  <c r="M11" i="52"/>
  <c r="N12" i="52"/>
  <c r="M12" i="52"/>
  <c r="N13" i="52"/>
  <c r="M13" i="52"/>
  <c r="N14" i="52"/>
  <c r="M14" i="52"/>
  <c r="N15" i="52"/>
  <c r="M15" i="52"/>
  <c r="N16" i="52"/>
  <c r="M16" i="52"/>
  <c r="N17" i="52"/>
  <c r="M17" i="52"/>
  <c r="N18" i="52"/>
  <c r="M18" i="52"/>
  <c r="N19" i="52"/>
  <c r="M19" i="52"/>
  <c r="N20" i="52"/>
  <c r="M20" i="52"/>
  <c r="N21" i="52"/>
  <c r="M21" i="52"/>
  <c r="N22" i="52"/>
  <c r="M22" i="52"/>
  <c r="N23" i="52"/>
  <c r="M23" i="52"/>
  <c r="N24" i="52"/>
  <c r="M24" i="52"/>
  <c r="N25" i="52"/>
  <c r="M25" i="52"/>
  <c r="N26" i="52"/>
  <c r="M26" i="52"/>
  <c r="N27" i="52"/>
  <c r="M27" i="52"/>
  <c r="N28" i="52"/>
  <c r="M28" i="52"/>
  <c r="N29" i="52"/>
  <c r="M29" i="52"/>
  <c r="N30" i="52"/>
  <c r="M30" i="52"/>
  <c r="N31" i="52"/>
  <c r="M31" i="52"/>
  <c r="M5" i="52"/>
  <c r="L5" i="52"/>
  <c r="M6" i="52"/>
  <c r="Q8" i="52"/>
  <c r="P8" i="52"/>
  <c r="Q9" i="52"/>
  <c r="P9" i="52"/>
  <c r="Q10" i="52"/>
  <c r="P10" i="52"/>
  <c r="Q11" i="52"/>
  <c r="P11" i="52"/>
  <c r="Q12" i="52"/>
  <c r="P12" i="52"/>
  <c r="Q13" i="52"/>
  <c r="P13" i="52"/>
  <c r="Q14" i="52"/>
  <c r="P14" i="52"/>
  <c r="Q15" i="52"/>
  <c r="P15" i="52"/>
  <c r="Q16" i="52"/>
  <c r="P16" i="52"/>
  <c r="Q17" i="52"/>
  <c r="P17" i="52"/>
  <c r="Q18" i="52"/>
  <c r="P18" i="52"/>
  <c r="Q19" i="52"/>
  <c r="P19" i="52"/>
  <c r="Q20" i="52"/>
  <c r="P20" i="52"/>
  <c r="Q21" i="52"/>
  <c r="P21" i="52"/>
  <c r="Q22" i="52"/>
  <c r="P22" i="52"/>
  <c r="Q23" i="52"/>
  <c r="P23" i="52"/>
  <c r="Q24" i="52"/>
  <c r="P24" i="52"/>
  <c r="Q25" i="52"/>
  <c r="P25" i="52"/>
  <c r="Q26" i="52"/>
  <c r="P26" i="52"/>
  <c r="Q27" i="52"/>
  <c r="P27" i="52"/>
  <c r="Q28" i="52"/>
  <c r="P28" i="52"/>
  <c r="Q29" i="52"/>
  <c r="P29" i="52"/>
  <c r="Q30" i="52"/>
  <c r="P30" i="52"/>
  <c r="Q31" i="52"/>
  <c r="P31" i="52"/>
  <c r="P5" i="52"/>
  <c r="O5" i="52"/>
  <c r="P6" i="52"/>
  <c r="T8" i="52"/>
  <c r="S8" i="52"/>
  <c r="T9" i="52"/>
  <c r="S9" i="52"/>
  <c r="T10" i="52"/>
  <c r="S10" i="52"/>
  <c r="T11" i="52"/>
  <c r="S11" i="52"/>
  <c r="T12" i="52"/>
  <c r="S12" i="52"/>
  <c r="T13" i="52"/>
  <c r="S13" i="52"/>
  <c r="T14" i="52"/>
  <c r="S14" i="52"/>
  <c r="T15" i="52"/>
  <c r="S15" i="52"/>
  <c r="T16" i="52"/>
  <c r="S16" i="52"/>
  <c r="T17" i="52"/>
  <c r="S17" i="52"/>
  <c r="T18" i="52"/>
  <c r="S18" i="52"/>
  <c r="T19" i="52"/>
  <c r="S19" i="52"/>
  <c r="T20" i="52"/>
  <c r="S20" i="52"/>
  <c r="T21" i="52"/>
  <c r="S21" i="52"/>
  <c r="T22" i="52"/>
  <c r="S22" i="52"/>
  <c r="T23" i="52"/>
  <c r="S23" i="52"/>
  <c r="T24" i="52"/>
  <c r="S24" i="52"/>
  <c r="T25" i="52"/>
  <c r="S25" i="52"/>
  <c r="T26" i="52"/>
  <c r="S26" i="52"/>
  <c r="T27" i="52"/>
  <c r="S27" i="52"/>
  <c r="T28" i="52"/>
  <c r="S28" i="52"/>
  <c r="T29" i="52"/>
  <c r="S29" i="52"/>
  <c r="T30" i="52"/>
  <c r="S30" i="52"/>
  <c r="T31" i="52"/>
  <c r="S31" i="52"/>
  <c r="S5" i="52"/>
  <c r="R5" i="52"/>
  <c r="S6" i="52"/>
  <c r="W8" i="52"/>
  <c r="V8" i="52"/>
  <c r="W9" i="52"/>
  <c r="V9" i="52"/>
  <c r="W10" i="52"/>
  <c r="V10" i="52"/>
  <c r="W11" i="52"/>
  <c r="V11" i="52"/>
  <c r="W12" i="52"/>
  <c r="V12" i="52"/>
  <c r="W13" i="52"/>
  <c r="V13" i="52"/>
  <c r="W14" i="52"/>
  <c r="V14" i="52"/>
  <c r="W15" i="52"/>
  <c r="V15" i="52"/>
  <c r="W16" i="52"/>
  <c r="V16" i="52"/>
  <c r="W17" i="52"/>
  <c r="V17" i="52"/>
  <c r="W18" i="52"/>
  <c r="V18" i="52"/>
  <c r="W19" i="52"/>
  <c r="V19" i="52"/>
  <c r="W20" i="52"/>
  <c r="V20" i="52"/>
  <c r="W21" i="52"/>
  <c r="V21" i="52"/>
  <c r="W22" i="52"/>
  <c r="V22" i="52"/>
  <c r="W23" i="52"/>
  <c r="V23" i="52"/>
  <c r="W24" i="52"/>
  <c r="V24" i="52"/>
  <c r="W25" i="52"/>
  <c r="V25" i="52"/>
  <c r="W26" i="52"/>
  <c r="V26" i="52"/>
  <c r="W27" i="52"/>
  <c r="V27" i="52"/>
  <c r="W28" i="52"/>
  <c r="V28" i="52"/>
  <c r="W29" i="52"/>
  <c r="V29" i="52"/>
  <c r="W30" i="52"/>
  <c r="V30" i="52"/>
  <c r="W31" i="52"/>
  <c r="V31" i="52"/>
  <c r="V5" i="52"/>
  <c r="U5" i="52"/>
  <c r="V6" i="52"/>
  <c r="B6" i="52"/>
  <c r="K5" i="52"/>
  <c r="N5" i="52"/>
  <c r="Q5" i="52"/>
  <c r="T5" i="52"/>
  <c r="W5" i="52"/>
  <c r="B5" i="52"/>
  <c r="Q7" i="59"/>
  <c r="Q10" i="58"/>
  <c r="Q11" i="58"/>
  <c r="Q12" i="58"/>
  <c r="Q13" i="58"/>
  <c r="Q14" i="58"/>
  <c r="Q15" i="58"/>
  <c r="Q16" i="58"/>
  <c r="Q17" i="58"/>
  <c r="N10" i="58"/>
  <c r="N11" i="58"/>
  <c r="N12" i="58"/>
  <c r="N13" i="58"/>
  <c r="N14" i="58"/>
  <c r="N15" i="58"/>
  <c r="N16" i="58"/>
  <c r="N17" i="58"/>
  <c r="K10" i="58"/>
  <c r="K11" i="58"/>
  <c r="K12" i="58"/>
  <c r="K13" i="58"/>
  <c r="K14" i="58"/>
  <c r="K15" i="58"/>
  <c r="K16" i="58"/>
  <c r="K17" i="58"/>
  <c r="P17" i="58"/>
  <c r="M17" i="58"/>
  <c r="P16" i="58"/>
  <c r="M16" i="58"/>
  <c r="P15" i="58"/>
  <c r="M15" i="58"/>
  <c r="P14" i="58"/>
  <c r="M14" i="58"/>
  <c r="P13" i="58"/>
  <c r="M13" i="58"/>
  <c r="P12" i="58"/>
  <c r="M12" i="58"/>
  <c r="P11" i="58"/>
  <c r="M11" i="58"/>
  <c r="P10" i="58"/>
  <c r="M10" i="58"/>
  <c r="P7" i="58"/>
  <c r="P8" i="58"/>
  <c r="M7" i="58"/>
  <c r="M8" i="58"/>
  <c r="Q7" i="58"/>
  <c r="N7" i="58"/>
  <c r="K7" i="58"/>
</calcChain>
</file>

<file path=xl/sharedStrings.xml><?xml version="1.0" encoding="utf-8"?>
<sst xmlns="http://schemas.openxmlformats.org/spreadsheetml/2006/main" count="654" uniqueCount="358">
  <si>
    <t>ANSWER</t>
  </si>
  <si>
    <t>Answer Status</t>
  </si>
  <si>
    <t>Correct</t>
  </si>
  <si>
    <t>Wrong</t>
  </si>
  <si>
    <t>Answer Status Q01</t>
  </si>
  <si>
    <t>Answer Status Q02</t>
  </si>
  <si>
    <t>Answer Status Q03</t>
  </si>
  <si>
    <t>Answer Status Q04</t>
  </si>
  <si>
    <t>% Attempted</t>
  </si>
  <si>
    <t>% Correct</t>
  </si>
  <si>
    <t>AVERAGE</t>
  </si>
  <si>
    <t>Answer Status Q05</t>
  </si>
  <si>
    <t>Answer Status Q06</t>
  </si>
  <si>
    <t>Y</t>
  </si>
  <si>
    <t>N</t>
  </si>
  <si>
    <t>Function(s)</t>
  </si>
  <si>
    <t>Formula Element</t>
  </si>
  <si>
    <t>Reference(s)</t>
  </si>
  <si>
    <t>Operator(s)</t>
  </si>
  <si>
    <t>Constant(s)</t>
  </si>
  <si>
    <t>ID</t>
  </si>
  <si>
    <t>YesNo</t>
  </si>
  <si>
    <t>Q#</t>
  </si>
  <si>
    <t>Answer Status Q07</t>
  </si>
  <si>
    <t>Fill in Empty Cells (Gray Borders) with Correct Formulas [Expand Hidden Columns for ANSWERS]</t>
  </si>
  <si>
    <t>SUM</t>
  </si>
  <si>
    <t>COUNT</t>
  </si>
  <si>
    <t>COUNTA</t>
  </si>
  <si>
    <t>COUNTBLANK</t>
  </si>
  <si>
    <t>ROUND</t>
  </si>
  <si>
    <t>MROUND</t>
  </si>
  <si>
    <t>SUMIFS</t>
  </si>
  <si>
    <t>AVERAGEIFS</t>
  </si>
  <si>
    <t>COUNTIFS</t>
  </si>
  <si>
    <t>Vendor Name</t>
  </si>
  <si>
    <t>Jig Is Up</t>
  </si>
  <si>
    <t>A Lone Wolf</t>
  </si>
  <si>
    <t>A Guinea Pig</t>
  </si>
  <si>
    <t>Drive Me Nuts</t>
  </si>
  <si>
    <t>Back to Square One</t>
  </si>
  <si>
    <t>Tough It Out</t>
  </si>
  <si>
    <t>Quick On the Draw</t>
  </si>
  <si>
    <t>A Little Bird Told Me</t>
  </si>
  <si>
    <t>Keep On Truckin'</t>
  </si>
  <si>
    <t>Let Her Rip</t>
  </si>
  <si>
    <t>Cup Of Joe</t>
  </si>
  <si>
    <t>Total Amount</t>
  </si>
  <si>
    <t>Payment 01</t>
  </si>
  <si>
    <t>Payment 02</t>
  </si>
  <si>
    <t>Payment 03</t>
  </si>
  <si>
    <t>Payment 04</t>
  </si>
  <si>
    <t>Pending</t>
  </si>
  <si>
    <t>Total of Payments</t>
  </si>
  <si>
    <t>Total of Payments ANS</t>
  </si>
  <si>
    <t>Average of Payments</t>
  </si>
  <si>
    <t>Average of Payments ANS</t>
  </si>
  <si>
    <t># of Payments</t>
  </si>
  <si>
    <t># of Payments ANS</t>
  </si>
  <si>
    <t># of Payments Completed or Pending</t>
  </si>
  <si>
    <t># of Skipped (Blank) Payments</t>
  </si>
  <si>
    <t># of Payments Completed or Pending ANS</t>
  </si>
  <si>
    <t># of Skipped (Blank) Payments ANS</t>
  </si>
  <si>
    <t>Answer Status Q08</t>
  </si>
  <si>
    <t>Payment Summary by Vendor</t>
  </si>
  <si>
    <t>Payment Amount Total</t>
  </si>
  <si>
    <t>Payment Amount Average</t>
  </si>
  <si>
    <t>Number of Payments</t>
  </si>
  <si>
    <t>Payment Amount Total ANS</t>
  </si>
  <si>
    <t>Payment Amount Average ANS</t>
  </si>
  <si>
    <t>Number of Payments ANS</t>
  </si>
  <si>
    <t>Report Data</t>
  </si>
  <si>
    <t>Billing Start Date</t>
  </si>
  <si>
    <t>Billing Start Date Year</t>
  </si>
  <si>
    <t>Billing Start Date Weekday</t>
  </si>
  <si>
    <t>Payment Amount</t>
  </si>
  <si>
    <t>Contractor Name</t>
  </si>
  <si>
    <t>Answer Status Q09</t>
  </si>
  <si>
    <t>Bridgett Holden</t>
  </si>
  <si>
    <t>Kathie Fowler</t>
  </si>
  <si>
    <t>Ginger Hobbs</t>
  </si>
  <si>
    <t>Jerald Gaines</t>
  </si>
  <si>
    <t>Payment Amount Total w/ Report Filters</t>
  </si>
  <si>
    <t>Filter Name</t>
  </si>
  <si>
    <t>Filter Value</t>
  </si>
  <si>
    <t>Payment on a specific weekday</t>
  </si>
  <si>
    <t>Tuesday</t>
  </si>
  <si>
    <t>Payment GREATER THAN a specific amount</t>
  </si>
  <si>
    <t>Payment occured BEFORE a specific date</t>
  </si>
  <si>
    <t>Report Filters</t>
  </si>
  <si>
    <t>Payment Amount Total w/ Report Filters ANS</t>
  </si>
  <si>
    <t>Excel Formula Deep Dive Master Class</t>
  </si>
  <si>
    <t>Learn 45+ Functions, Fix Broken Formulas, and Calculate Anything</t>
  </si>
  <si>
    <t>Module 1 - References, Math Functions, and Text Functions</t>
  </si>
  <si>
    <t>REVIEW) Formula Fundamentals</t>
  </si>
  <si>
    <t>A1) Relative References</t>
  </si>
  <si>
    <t>A2) Absolute References</t>
  </si>
  <si>
    <t>A3) Mixed References</t>
  </si>
  <si>
    <t>A4) Math Functions</t>
  </si>
  <si>
    <t>A5) Math Report</t>
  </si>
  <si>
    <t>BONUS 1) Math Functions</t>
  </si>
  <si>
    <t>BONUS 2) Math Report</t>
  </si>
  <si>
    <t>B6) Text Functions</t>
  </si>
  <si>
    <t>BONUS 3) Text Functions</t>
  </si>
  <si>
    <t>Fill in Empty Cells (Gray Borders) with Correct Formulas [Expand Hidden Rows for ANSWERS]</t>
  </si>
  <si>
    <t>Discount %</t>
  </si>
  <si>
    <t>Sales Tax %</t>
  </si>
  <si>
    <t>JPY Exch. Rate</t>
  </si>
  <si>
    <t>Abs Ref</t>
  </si>
  <si>
    <t>Invoice Amount</t>
  </si>
  <si>
    <t>Invoice Amount JPY</t>
  </si>
  <si>
    <t>Invoice Amount JPY ANS</t>
  </si>
  <si>
    <t>Roland Mcbride</t>
  </si>
  <si>
    <t>Selena Murray</t>
  </si>
  <si>
    <t>Laurence Ray</t>
  </si>
  <si>
    <t>Lupe Carson</t>
  </si>
  <si>
    <t>Freida Pugh</t>
  </si>
  <si>
    <t>Dee Nixon</t>
  </si>
  <si>
    <t>Angelita Diaz</t>
  </si>
  <si>
    <t>Clement Ayers</t>
  </si>
  <si>
    <t>Fannie Solis</t>
  </si>
  <si>
    <t>Colton Palmer</t>
  </si>
  <si>
    <t>Branden Hicks</t>
  </si>
  <si>
    <t>Arlene Barnett</t>
  </si>
  <si>
    <t>Vincenzo Madden</t>
  </si>
  <si>
    <t>Cecelia Bell</t>
  </si>
  <si>
    <t>Kip Hooper</t>
  </si>
  <si>
    <t>Jeanette Mann</t>
  </si>
  <si>
    <t>Francisco Walters</t>
  </si>
  <si>
    <t>Leonardo Eaton</t>
  </si>
  <si>
    <t>Neal Richards</t>
  </si>
  <si>
    <t>Dane Li</t>
  </si>
  <si>
    <t>Jamison Steele</t>
  </si>
  <si>
    <t>Coy Reilly</t>
  </si>
  <si>
    <t>Jordan Davila</t>
  </si>
  <si>
    <t>Lina Bond</t>
  </si>
  <si>
    <t>Multiplication Table</t>
  </si>
  <si>
    <t>ANSWER STATUS</t>
  </si>
  <si>
    <t>Keep Eyes Peeled</t>
  </si>
  <si>
    <t>Invoice Discount Amount</t>
  </si>
  <si>
    <t>Invoice Sales Tax</t>
  </si>
  <si>
    <t>Invoice Discount Amount ANS</t>
  </si>
  <si>
    <t>Invoice Sales Tax ANS</t>
  </si>
  <si>
    <t>A5) Math Report: SUMIFS, AVERAGEIFS, and COUNTIFS</t>
  </si>
  <si>
    <t>Date &amp; Time Formulas and Values</t>
  </si>
  <si>
    <t>Label</t>
  </si>
  <si>
    <t>Formula or Value</t>
  </si>
  <si>
    <t>Formula or Value ANS</t>
  </si>
  <si>
    <t>BONUS 1) More Math Functions</t>
  </si>
  <si>
    <t>Day Rate</t>
  </si>
  <si>
    <t>Day Rate Rounded to Nearest Cent</t>
  </si>
  <si>
    <t>Day Rate Rounded to Nearest Cent ANS</t>
  </si>
  <si>
    <t>Day Rate Rounded UP to Nearest Cent</t>
  </si>
  <si>
    <t>Day Rate Rounded UP to Nearest Cent ANS</t>
  </si>
  <si>
    <t>Day Rate Rounded DOWN to Nearest Cent</t>
  </si>
  <si>
    <t>Day Rate Rounded DOWN to Nearest Cent ANS</t>
  </si>
  <si>
    <t>Day Rate Rounded to Nearest $5</t>
  </si>
  <si>
    <t>Day Rate Rounded to Nearest $5 ANS</t>
  </si>
  <si>
    <t>Day Rate Rounded UP to Nearest $5</t>
  </si>
  <si>
    <t>Day Rate Rounded UP to Nearest $5 ANS</t>
  </si>
  <si>
    <t>Day Rate Rounded DOWN to Nearest $5</t>
  </si>
  <si>
    <t>Day Rate Rounded DOWN to Nearest $5 ANS</t>
  </si>
  <si>
    <t>ROUNDUP</t>
  </si>
  <si>
    <t>ROUNDDOWN</t>
  </si>
  <si>
    <t>CEILING</t>
  </si>
  <si>
    <t>FLOOR</t>
  </si>
  <si>
    <t>BONUS 2) Math Report: Advanced SUMIFS</t>
  </si>
  <si>
    <t>2020 ANS</t>
  </si>
  <si>
    <t>2021 ANS</t>
  </si>
  <si>
    <t>2022 ANS</t>
  </si>
  <si>
    <t>2020</t>
  </si>
  <si>
    <t>2021</t>
  </si>
  <si>
    <t>2022</t>
  </si>
  <si>
    <t>Sum of Payments by Vendor Over Time</t>
  </si>
  <si>
    <t>&gt;200</t>
  </si>
  <si>
    <t>&lt;1/1/2022</t>
  </si>
  <si>
    <t>PO Code</t>
  </si>
  <si>
    <t>PO Code Extra Spaces</t>
  </si>
  <si>
    <t>AC.LV.PASL.MCCL</t>
  </si>
  <si>
    <t>HB.CH.CMOS.QULA.ME</t>
  </si>
  <si>
    <t>AC.LV.SIW.DR</t>
  </si>
  <si>
    <t>AC.LV.SAW.LEMC</t>
  </si>
  <si>
    <t>HB.GV.DUET.LE</t>
  </si>
  <si>
    <t>HB.SL.CMCW.MCL.SM</t>
  </si>
  <si>
    <t>HB.CH.DSHFT.QLC.LG</t>
  </si>
  <si>
    <t>HB.GY.SL.COAC.GM</t>
  </si>
  <si>
    <t>HB.MM.LMCB.MAD.SM</t>
  </si>
  <si>
    <t>HB.SL.CLMCB.CREL.SM</t>
  </si>
  <si>
    <t>HB.LV.LICK.MV.PM</t>
  </si>
  <si>
    <t>HB.GC.DBTH.CBLE.LG</t>
  </si>
  <si>
    <t>HB.LV.WEPO.LEMC</t>
  </si>
  <si>
    <t>HB.VA.SPFP.QLE.SM</t>
  </si>
  <si>
    <t>AC.GC.SCW.LE</t>
  </si>
  <si>
    <t>AC.CH.ZAWA.QULA.LO</t>
  </si>
  <si>
    <t>AC.CH.LYWA.QULA.LO</t>
  </si>
  <si>
    <t>HB.LV.FELP.EL</t>
  </si>
  <si>
    <t>AC.CH.LYWA.QCA</t>
  </si>
  <si>
    <t>HB.GC.DYS.ABCC.SM</t>
  </si>
  <si>
    <t>AC.LV.EMWL.MNCA</t>
  </si>
  <si>
    <t>HB.CH.TCST.QCA.LG</t>
  </si>
  <si>
    <t>HB.VA.ROROC.SLTU.SM</t>
  </si>
  <si>
    <t>HB.CH.BIA.QUCC.SM</t>
  </si>
  <si>
    <t>Character Count of PO Code</t>
  </si>
  <si>
    <t>Character Count of PO Code ANS</t>
  </si>
  <si>
    <t>PO Code Extra Spaces Trimmed</t>
  </si>
  <si>
    <t>PO Code Extra Spaces Trimmed ANS</t>
  </si>
  <si>
    <t>Is PO Code Exactly the Same as Trimmed PO Code?</t>
  </si>
  <si>
    <t>Is PO Code Exactly the Same as Trimmed PO Code? ANS</t>
  </si>
  <si>
    <t>First 2 Characters of PO Code</t>
  </si>
  <si>
    <t>First 2 Characters of PO Code ANS</t>
  </si>
  <si>
    <t>Last 4 Characters of PO Code</t>
  </si>
  <si>
    <t>Last 4 Characters of PO Code ANS</t>
  </si>
  <si>
    <t>4th &amp; 5th Characters of PO Code</t>
  </si>
  <si>
    <t>4th &amp; 5th Characters of PO Code ANS</t>
  </si>
  <si>
    <t>LEN</t>
  </si>
  <si>
    <t>TRIM</t>
  </si>
  <si>
    <t>EXACT</t>
  </si>
  <si>
    <t>LEFT</t>
  </si>
  <si>
    <t>RIGHT</t>
  </si>
  <si>
    <t>MID</t>
  </si>
  <si>
    <t xml:space="preserve">     AC.LV.PASL.MCCL     </t>
  </si>
  <si>
    <t xml:space="preserve">     HB.CH.CMOS.QULA.ME     </t>
  </si>
  <si>
    <t xml:space="preserve">     AC.LV.SIW.DR     </t>
  </si>
  <si>
    <t xml:space="preserve">     AC.LV.SAW.LEMC     </t>
  </si>
  <si>
    <t xml:space="preserve">     HB.GV.DUET.LE     </t>
  </si>
  <si>
    <t xml:space="preserve">     HB.SL.CMCW.MCL.SM     </t>
  </si>
  <si>
    <t xml:space="preserve">     HB.CH.DSHFT.QLC.LG     </t>
  </si>
  <si>
    <t xml:space="preserve">     HB.GY.SL.COAC.GM     </t>
  </si>
  <si>
    <t xml:space="preserve">     HB.MM.LMCB.MAD.SM     </t>
  </si>
  <si>
    <t xml:space="preserve">     HB.SL.CLMCB.CREL.SM     </t>
  </si>
  <si>
    <t xml:space="preserve">     HB.LV.LICK.MV.PM     </t>
  </si>
  <si>
    <t xml:space="preserve">     HB.GC.DBTH.CBLE.LG     </t>
  </si>
  <si>
    <t xml:space="preserve">     HB.LV.WEPO.LEMC     </t>
  </si>
  <si>
    <t xml:space="preserve">     HB.VA.SPFP.QLE.SM     </t>
  </si>
  <si>
    <t xml:space="preserve">     AC.GC.SCW.LE     </t>
  </si>
  <si>
    <t xml:space="preserve">     AC.CH.ZAWA.QULA.LO     </t>
  </si>
  <si>
    <t xml:space="preserve">     AC.CH.LYWA.QULA.LO     </t>
  </si>
  <si>
    <t xml:space="preserve">     HB.LV.FELP.EL     </t>
  </si>
  <si>
    <t xml:space="preserve">     AC.CH.LYWA.QCA     </t>
  </si>
  <si>
    <t xml:space="preserve">     HB.GC.DYS.ABCC.SM     </t>
  </si>
  <si>
    <t xml:space="preserve">     AC.LV.EMWL.MNCA     </t>
  </si>
  <si>
    <t xml:space="preserve">     HB.CH.TCST.QCA.LG     </t>
  </si>
  <si>
    <t xml:space="preserve">     HB.VA.ROROC.SLTU.SM     </t>
  </si>
  <si>
    <t xml:space="preserve">     HB.CH.BIA.QUCC.SM     </t>
  </si>
  <si>
    <t>Answer Status Q10</t>
  </si>
  <si>
    <t>Answer Status Q11</t>
  </si>
  <si>
    <t>Answer Status Q12</t>
  </si>
  <si>
    <t>Position of 1st "." (period) in PO Code</t>
  </si>
  <si>
    <t>Position of 1st "." (period) in PO Code ANS</t>
  </si>
  <si>
    <t>Position of 2nd "." (period) in PO Code</t>
  </si>
  <si>
    <t>Position of 2nd "." (period) in PO Code ANS</t>
  </si>
  <si>
    <t>Position of 3rd "." (period) in PO Code</t>
  </si>
  <si>
    <t>Position of 3rd "." (period) in PO Code ANS</t>
  </si>
  <si>
    <t>Contents of 1st Part of PO Code</t>
  </si>
  <si>
    <t>Contents of 1st Part of PO Code ANS</t>
  </si>
  <si>
    <t>Contents of 2nd Part of PO Code</t>
  </si>
  <si>
    <t>Contents of 2nd Part of PO Code ANS</t>
  </si>
  <si>
    <t>Contents of 3rd Part of PO Code</t>
  </si>
  <si>
    <t>Contents of 3rd Part of PO Code ANS</t>
  </si>
  <si>
    <t>SUBSTITUTE "." (period) with "_" (underscore) in PO Code</t>
  </si>
  <si>
    <t>SUBSTITUTE "." (period) with "_" (underscore) in PO Code ANS</t>
  </si>
  <si>
    <t>Vendor Messy Casing</t>
  </si>
  <si>
    <t>Vendor LOWER Case</t>
  </si>
  <si>
    <t>Vendor LOWER Case ANS</t>
  </si>
  <si>
    <t>Vendor UPPER Case</t>
  </si>
  <si>
    <t>Vendor UPPER Case ANS</t>
  </si>
  <si>
    <t>Vendor Proper Case</t>
  </si>
  <si>
    <t>Answer Status Q13</t>
  </si>
  <si>
    <t>Vendor Proper Case ANS</t>
  </si>
  <si>
    <t>SEARCH</t>
  </si>
  <si>
    <t>"&amp;" Symbol</t>
  </si>
  <si>
    <t>Parts 1, 2, and 3 of PO Code, Separated by "." (period) using &amp;</t>
  </si>
  <si>
    <t>Parts 1, 2, and 3 of PO Code, Separated by "." (period) using &amp; ANS</t>
  </si>
  <si>
    <t>Parts 1, 2, and 3 of PO Code, Separated by "." (period) using CONCATENATE</t>
  </si>
  <si>
    <t>Parts 1, 2, and 3 of PO Code, Separated by "." (period) using CONCATENATE ANS</t>
  </si>
  <si>
    <t>Parts 1, 2, and 3 of PO Code, Separated by "." (period) using TEXTJOIN</t>
  </si>
  <si>
    <t>Parts 1, 2, and 3 of PO Code, Separated by "." (period) using TEXTJOIN ANS</t>
  </si>
  <si>
    <t>CONCATENATE</t>
  </si>
  <si>
    <t>TEXTJOIN</t>
  </si>
  <si>
    <t>SUBSTITUTE</t>
  </si>
  <si>
    <t>LOWER</t>
  </si>
  <si>
    <t>UPPER</t>
  </si>
  <si>
    <t>PROPER</t>
  </si>
  <si>
    <t>Jig iS UP</t>
  </si>
  <si>
    <t>Let HEr RIp</t>
  </si>
  <si>
    <t>A LoNe wOLf</t>
  </si>
  <si>
    <t>A GuiNEA PIg</t>
  </si>
  <si>
    <t>DRIve me NuTs</t>
  </si>
  <si>
    <t>BaCK TO SqUaRe One</t>
  </si>
  <si>
    <t>ToUGh it OUt</t>
  </si>
  <si>
    <t>QuICk oN tHe DRaW</t>
  </si>
  <si>
    <t>Five Missing Keys to Formula Proficiency</t>
  </si>
  <si>
    <t>Formula Vs. Function</t>
  </si>
  <si>
    <r>
      <rPr>
        <b/>
        <sz val="13"/>
        <color rgb="FF636568"/>
        <rFont val="Calibri"/>
        <family val="2"/>
      </rPr>
      <t xml:space="preserve">Formula </t>
    </r>
    <r>
      <rPr>
        <sz val="13"/>
        <color rgb="FF636568"/>
        <rFont val="Calibri"/>
        <family val="2"/>
      </rPr>
      <t>= an expression which performs any calculation within a spreadsheet.</t>
    </r>
  </si>
  <si>
    <r>
      <rPr>
        <b/>
        <sz val="13"/>
        <color rgb="FF636568"/>
        <rFont val="Calibri"/>
        <family val="2"/>
      </rPr>
      <t xml:space="preserve">Function </t>
    </r>
    <r>
      <rPr>
        <sz val="13"/>
        <color rgb="FF636568"/>
        <rFont val="Calibri"/>
        <family val="2"/>
      </rPr>
      <t>= a predefined type of calculation within a spreadsheet.</t>
    </r>
  </si>
  <si>
    <t>Syntax (Building blocks to speak the language of Excel Formulas)</t>
  </si>
  <si>
    <t>Arithmetic Operators</t>
  </si>
  <si>
    <t>Comparison Operators</t>
  </si>
  <si>
    <t>Other Symbols</t>
  </si>
  <si>
    <t>+</t>
  </si>
  <si>
    <t>plus</t>
  </si>
  <si>
    <t>&lt;</t>
  </si>
  <si>
    <t>less than</t>
  </si>
  <si>
    <t>,</t>
  </si>
  <si>
    <t>comma</t>
  </si>
  <si>
    <t>must be used to separate arguments within a function</t>
  </si>
  <si>
    <t>-</t>
  </si>
  <si>
    <t>minus</t>
  </si>
  <si>
    <t>&gt;</t>
  </si>
  <si>
    <t>greater than</t>
  </si>
  <si>
    <t>( and )</t>
  </si>
  <si>
    <t>parentheses</t>
  </si>
  <si>
    <t>must be used with every single function</t>
  </si>
  <si>
    <t>*</t>
  </si>
  <si>
    <t>multiply</t>
  </si>
  <si>
    <t>&lt;=</t>
  </si>
  <si>
    <t>less than or equal to</t>
  </si>
  <si>
    <t>can also be used to force order of operations (PEMDAS)</t>
  </si>
  <si>
    <t>divide</t>
  </si>
  <si>
    <t>&gt;=</t>
  </si>
  <si>
    <t>greater than or equal to</t>
  </si>
  <si>
    <t>" and "</t>
  </si>
  <si>
    <t>double quotes</t>
  </si>
  <si>
    <t>must be used to reference text inside of a formula</t>
  </si>
  <si>
    <t>^</t>
  </si>
  <si>
    <t>exponent</t>
  </si>
  <si>
    <t>=</t>
  </si>
  <si>
    <t>equal to</t>
  </si>
  <si>
    <t>$</t>
  </si>
  <si>
    <t>dollar sign</t>
  </si>
  <si>
    <t>can be used to anchor a cell reference (when formula is copied and pasted)</t>
  </si>
  <si>
    <t>&lt;&gt;</t>
  </si>
  <si>
    <t>NOT equal to</t>
  </si>
  <si>
    <t>&amp;</t>
  </si>
  <si>
    <t>ampersand</t>
  </si>
  <si>
    <t>concatenates or joins characters together</t>
  </si>
  <si>
    <t>:</t>
  </si>
  <si>
    <t>colon</t>
  </si>
  <si>
    <t>must be used to indicate a range of cells (i.e. A1:A5 means A1 through A5)</t>
  </si>
  <si>
    <t>apostrophe</t>
  </si>
  <si>
    <t>can be used in front of a formula to show formula text (instead of calculating)</t>
  </si>
  <si>
    <t>Placeholders (Save formulas as ou go with temp values like "blah")</t>
  </si>
  <si>
    <t>Example: =IF(5+5=10,”blah true”,”blah false”)</t>
  </si>
  <si>
    <t>Helper Columns (Simplify calculations into bite-sized chunks)</t>
  </si>
  <si>
    <t>Example: Year, Month, Day, and THEN use the DATE function</t>
  </si>
  <si>
    <t>Help - Leverage the ExcelShir Help Hierarchy</t>
  </si>
  <si>
    <t>a)</t>
  </si>
  <si>
    <t>b)</t>
  </si>
  <si>
    <t>c)</t>
  </si>
  <si>
    <t>d)</t>
  </si>
  <si>
    <r>
      <rPr>
        <b/>
        <u/>
        <sz val="13"/>
        <color rgb="FF636568"/>
        <rFont val="Calibri"/>
        <family val="2"/>
      </rPr>
      <t>B</t>
    </r>
    <r>
      <rPr>
        <sz val="13"/>
        <color rgb="FF636568"/>
        <rFont val="Calibri"/>
        <family val="2"/>
      </rPr>
      <t>uilt-In help articles</t>
    </r>
  </si>
  <si>
    <r>
      <rPr>
        <b/>
        <u/>
        <sz val="13"/>
        <color rgb="FF636568"/>
        <rFont val="Calibri"/>
        <family val="2"/>
      </rPr>
      <t>I</t>
    </r>
    <r>
      <rPr>
        <sz val="13"/>
        <color rgb="FF636568"/>
        <rFont val="Calibri"/>
        <family val="2"/>
      </rPr>
      <t>nternet (i.e. online forums)</t>
    </r>
  </si>
  <si>
    <r>
      <rPr>
        <b/>
        <u/>
        <sz val="13"/>
        <color rgb="FF636568"/>
        <rFont val="Calibri"/>
        <family val="2"/>
      </rPr>
      <t>P</t>
    </r>
    <r>
      <rPr>
        <sz val="13"/>
        <color rgb="FF636568"/>
        <rFont val="Calibri"/>
        <family val="2"/>
      </rPr>
      <t>hone a friend or colleague</t>
    </r>
  </si>
  <si>
    <r>
      <rPr>
        <b/>
        <u/>
        <sz val="13"/>
        <color rgb="FF636568"/>
        <rFont val="Calibri"/>
        <family val="2"/>
      </rPr>
      <t>E</t>
    </r>
    <r>
      <rPr>
        <sz val="13"/>
        <color rgb="FF636568"/>
        <rFont val="Calibri"/>
        <family val="2"/>
      </rPr>
      <t>xpert - find an expert (e.g. clarity.fm)</t>
    </r>
  </si>
  <si>
    <r>
      <rPr>
        <b/>
        <sz val="13"/>
        <color rgb="FF177390"/>
        <rFont val="Calibri"/>
        <family val="2"/>
      </rPr>
      <t>Memory Trick:</t>
    </r>
    <r>
      <rPr>
        <sz val="13"/>
        <color rgb="FF177390"/>
        <rFont val="Calibri"/>
        <family val="2"/>
      </rPr>
      <t xml:space="preserve"> "Need help? Type </t>
    </r>
    <r>
      <rPr>
        <b/>
        <u/>
        <sz val="13"/>
        <color rgb="FF177390"/>
        <rFont val="Calibri"/>
        <family val="2"/>
      </rPr>
      <t>BIPE</t>
    </r>
    <r>
      <rPr>
        <sz val="13"/>
        <color rgb="FF177390"/>
        <rFont val="Calibri"/>
        <family val="2"/>
      </rPr>
      <t>!")</t>
    </r>
  </si>
  <si>
    <r>
      <t xml:space="preserve">Today's Date - </t>
    </r>
    <r>
      <rPr>
        <sz val="9"/>
        <color theme="1"/>
        <rFont val="Calibri"/>
        <family val="2"/>
      </rPr>
      <t>use TODAY() Function</t>
    </r>
  </si>
  <si>
    <r>
      <t xml:space="preserve">Current Time - </t>
    </r>
    <r>
      <rPr>
        <sz val="9"/>
        <color theme="1"/>
        <rFont val="Calibri"/>
        <family val="2"/>
      </rPr>
      <t>use NOW() Function</t>
    </r>
  </si>
  <si>
    <r>
      <t xml:space="preserve">Today's Date - </t>
    </r>
    <r>
      <rPr>
        <sz val="9"/>
        <color theme="1"/>
        <rFont val="Calibri"/>
        <family val="2"/>
      </rPr>
      <t>use CTRL + ; (semicolon) for PC or CMD + ; for MAC</t>
    </r>
  </si>
  <si>
    <r>
      <t xml:space="preserve">Current Time - </t>
    </r>
    <r>
      <rPr>
        <sz val="9"/>
        <color theme="1"/>
        <rFont val="Calibri"/>
        <family val="2"/>
      </rPr>
      <t>use CTRL + : (colon) for PC or CMD + : for MAC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</si>
</sst>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"/>
    <numFmt numFmtId="165" formatCode="mm/dd/yy;@"/>
    <numFmt numFmtId="166" formatCode="&quot;$&quot;#,##0.00"/>
    <numFmt numFmtId="167" formatCode="&quot;$&quot;#,##0.0000"/>
    <numFmt numFmtId="168" formatCode="[$¥-411]#,##0.00"/>
    <numFmt numFmtId="169" formatCode="[$¥-411]#,##0"/>
    <numFmt numFmtId="170" formatCode="0.000%"/>
    <numFmt numFmtId="171" formatCode="[$-409]hh:mm:ss\ AM/PM;@"/>
  </numFmts>
  <fonts count="35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11"/>
      <color rgb="FF636568"/>
      <name val="Calibri"/>
      <family val="2"/>
    </font>
    <font>
      <sz val="36"/>
      <color rgb="FF636568"/>
      <name val="Calibri"/>
      <family val="2"/>
    </font>
    <font>
      <sz val="16"/>
      <color rgb="FF636568"/>
      <name val="Calibri"/>
      <family val="2"/>
    </font>
    <font>
      <sz val="13"/>
      <color rgb="FF636568"/>
      <name val="Calibri"/>
      <family val="2"/>
    </font>
    <font>
      <b/>
      <sz val="16"/>
      <color rgb="FF636568"/>
      <name val="Calibri"/>
      <family val="2"/>
    </font>
    <font>
      <i/>
      <sz val="14"/>
      <color rgb="FF636568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  <font>
      <sz val="13"/>
      <color theme="1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20"/>
      <color rgb="FF636568"/>
      <name val="Calibri"/>
      <family val="2"/>
    </font>
    <font>
      <sz val="14"/>
      <color theme="1"/>
      <name val="Calibri"/>
      <family val="2"/>
    </font>
    <font>
      <b/>
      <sz val="13"/>
      <color rgb="FF636568"/>
      <name val="Calibri"/>
      <family val="2"/>
    </font>
    <font>
      <b/>
      <sz val="11"/>
      <color rgb="FF636568"/>
      <name val="Calibri"/>
      <family val="2"/>
    </font>
    <font>
      <b/>
      <u/>
      <sz val="11"/>
      <color rgb="FF636568"/>
      <name val="Calibri"/>
      <family val="2"/>
    </font>
    <font>
      <b/>
      <u/>
      <sz val="13"/>
      <color rgb="FF636568"/>
      <name val="Calibri"/>
      <family val="2"/>
    </font>
    <font>
      <sz val="13"/>
      <color rgb="FF177390"/>
      <name val="Calibri"/>
      <family val="2"/>
    </font>
    <font>
      <b/>
      <sz val="13"/>
      <color rgb="FF177390"/>
      <name val="Calibri"/>
      <family val="2"/>
    </font>
    <font>
      <b/>
      <u/>
      <sz val="13"/>
      <color rgb="FF177390"/>
      <name val="Calibri"/>
      <family val="2"/>
    </font>
    <font>
      <sz val="9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EBFEF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</cellStyleXfs>
  <cellXfs count="165">
    <xf numFmtId="0" fontId="0" fillId="0" borderId="0" xfId="0"/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0" fillId="12" borderId="0" xfId="0" applyFill="1"/>
    <xf numFmtId="0" fontId="17" fillId="12" borderId="0" xfId="0" applyFont="1" applyFill="1"/>
    <xf numFmtId="0" fontId="0" fillId="13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8" fillId="13" borderId="0" xfId="0" applyFont="1" applyFill="1" applyAlignment="1">
      <alignment horizontal="right"/>
    </xf>
    <xf numFmtId="0" fontId="0" fillId="13" borderId="0" xfId="0" applyFill="1" applyAlignment="1">
      <alignment horizontal="center"/>
    </xf>
    <xf numFmtId="0" fontId="19" fillId="2" borderId="0" xfId="13" applyFont="1" applyAlignment="1">
      <alignment horizontal="right"/>
    </xf>
    <xf numFmtId="0" fontId="5" fillId="0" borderId="1" xfId="5" applyAlignment="1">
      <alignment horizontal="center"/>
      <protection locked="0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19" fillId="2" borderId="2" xfId="13" applyFont="1" applyBorder="1" applyAlignment="1">
      <alignment horizontal="right" wrapText="1"/>
    </xf>
    <xf numFmtId="0" fontId="19" fillId="6" borderId="2" xfId="15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9" fontId="4" fillId="13" borderId="0" xfId="9" applyNumberFormat="1" applyFill="1" applyAlignment="1">
      <alignment horizontal="center"/>
    </xf>
    <xf numFmtId="0" fontId="0" fillId="13" borderId="4" xfId="0" applyFill="1" applyBorder="1" applyAlignment="1">
      <alignment horizontal="left"/>
    </xf>
    <xf numFmtId="0" fontId="18" fillId="13" borderId="6" xfId="0" applyFont="1" applyFill="1" applyBorder="1"/>
    <xf numFmtId="0" fontId="1" fillId="13" borderId="4" xfId="8" applyFill="1" applyBorder="1" applyAlignment="1">
      <alignment horizontal="center"/>
    </xf>
    <xf numFmtId="0" fontId="1" fillId="13" borderId="0" xfId="8" applyFill="1" applyBorder="1" applyAlignment="1">
      <alignment horizontal="center"/>
    </xf>
    <xf numFmtId="9" fontId="4" fillId="13" borderId="3" xfId="9" applyNumberFormat="1" applyFill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19" fillId="6" borderId="9" xfId="15" applyFont="1" applyBorder="1" applyAlignment="1">
      <alignment horizontal="center" wrapText="1"/>
    </xf>
    <xf numFmtId="0" fontId="5" fillId="0" borderId="11" xfId="5" applyBorder="1">
      <protection locked="0"/>
    </xf>
    <xf numFmtId="0" fontId="5" fillId="0" borderId="11" xfId="5" applyBorder="1" applyAlignment="1">
      <alignment horizontal="center"/>
      <protection locked="0"/>
    </xf>
    <xf numFmtId="0" fontId="0" fillId="0" borderId="2" xfId="0" applyBorder="1" applyAlignment="1">
      <alignment horizontal="center" wrapText="1"/>
    </xf>
    <xf numFmtId="0" fontId="5" fillId="0" borderId="12" xfId="5" applyFill="1" applyBorder="1">
      <protection locked="0"/>
    </xf>
    <xf numFmtId="0" fontId="0" fillId="0" borderId="0" xfId="0" applyAlignment="1">
      <alignment wrapText="1"/>
    </xf>
    <xf numFmtId="0" fontId="5" fillId="0" borderId="12" xfId="5" applyFill="1" applyBorder="1" applyAlignment="1">
      <alignment horizontal="center"/>
      <protection locked="0"/>
    </xf>
    <xf numFmtId="164" fontId="0" fillId="0" borderId="0" xfId="0" applyNumberFormat="1" applyAlignment="1">
      <alignment horizontal="right"/>
    </xf>
    <xf numFmtId="0" fontId="14" fillId="12" borderId="0" xfId="0" applyFont="1" applyFill="1" applyAlignment="1">
      <alignment horizontal="left" indent="33"/>
    </xf>
    <xf numFmtId="0" fontId="17" fillId="12" borderId="0" xfId="0" applyFont="1" applyFill="1" applyAlignment="1">
      <alignment horizontal="left" indent="33"/>
    </xf>
    <xf numFmtId="164" fontId="5" fillId="0" borderId="8" xfId="5" applyNumberFormat="1" applyBorder="1" applyAlignment="1">
      <alignment horizontal="right"/>
      <protection locked="0"/>
    </xf>
    <xf numFmtId="164" fontId="5" fillId="0" borderId="7" xfId="5" applyNumberFormat="1" applyBorder="1" applyAlignment="1">
      <alignment horizontal="right"/>
      <protection locked="0"/>
    </xf>
    <xf numFmtId="164" fontId="4" fillId="0" borderId="0" xfId="9" applyNumberFormat="1" applyAlignment="1"/>
    <xf numFmtId="0" fontId="14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164" fontId="5" fillId="0" borderId="1" xfId="5" applyNumberFormat="1" applyFill="1" applyAlignment="1">
      <alignment horizontal="right"/>
      <protection locked="0"/>
    </xf>
    <xf numFmtId="0" fontId="0" fillId="13" borderId="4" xfId="0" quotePrefix="1" applyFill="1" applyBorder="1" applyAlignment="1">
      <alignment horizontal="right"/>
    </xf>
    <xf numFmtId="164" fontId="5" fillId="0" borderId="7" xfId="5" applyNumberFormat="1" applyFill="1" applyBorder="1" applyAlignment="1">
      <alignment horizontal="right"/>
      <protection locked="0"/>
    </xf>
    <xf numFmtId="164" fontId="4" fillId="0" borderId="0" xfId="9" applyNumberFormat="1" applyFill="1" applyAlignment="1"/>
    <xf numFmtId="0" fontId="20" fillId="0" borderId="14" xfId="0" applyFont="1" applyBorder="1" applyAlignment="1">
      <alignment horizontal="center"/>
    </xf>
    <xf numFmtId="164" fontId="4" fillId="0" borderId="13" xfId="9" applyNumberFormat="1" applyFill="1" applyBorder="1" applyAlignment="1"/>
    <xf numFmtId="164" fontId="4" fillId="0" borderId="0" xfId="9" applyNumberFormat="1" applyAlignment="1">
      <alignment horizontal="right"/>
    </xf>
    <xf numFmtId="164" fontId="4" fillId="0" borderId="0" xfId="9" applyNumberFormat="1" applyFill="1" applyAlignment="1">
      <alignment horizontal="right"/>
    </xf>
    <xf numFmtId="164" fontId="4" fillId="0" borderId="13" xfId="9" applyNumberFormat="1" applyFill="1" applyBorder="1" applyAlignment="1">
      <alignment horizontal="right"/>
    </xf>
    <xf numFmtId="0" fontId="0" fillId="13" borderId="4" xfId="0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19" fillId="2" borderId="9" xfId="13" applyFont="1" applyBorder="1" applyAlignment="1">
      <alignment horizontal="right" wrapText="1"/>
    </xf>
    <xf numFmtId="0" fontId="4" fillId="0" borderId="0" xfId="9" applyNumberFormat="1" applyAlignment="1">
      <alignment horizontal="right"/>
    </xf>
    <xf numFmtId="0" fontId="4" fillId="0" borderId="0" xfId="9" applyNumberFormat="1" applyFill="1" applyAlignment="1">
      <alignment horizontal="right"/>
    </xf>
    <xf numFmtId="3" fontId="4" fillId="0" borderId="0" xfId="9" applyNumberFormat="1" applyAlignment="1">
      <alignment horizontal="right"/>
    </xf>
    <xf numFmtId="3" fontId="4" fillId="0" borderId="0" xfId="9" applyNumberFormat="1" applyFill="1" applyAlignment="1">
      <alignment horizontal="right"/>
    </xf>
    <xf numFmtId="3" fontId="5" fillId="0" borderId="7" xfId="5" applyNumberFormat="1" applyBorder="1" applyAlignment="1">
      <alignment horizontal="right"/>
      <protection locked="0"/>
    </xf>
    <xf numFmtId="3" fontId="5" fillId="0" borderId="7" xfId="5" applyNumberFormat="1" applyFill="1" applyBorder="1" applyAlignment="1">
      <alignment horizontal="right"/>
      <protection locked="0"/>
    </xf>
    <xf numFmtId="166" fontId="5" fillId="0" borderId="7" xfId="5" applyNumberFormat="1" applyBorder="1" applyAlignment="1">
      <alignment horizontal="right"/>
      <protection locked="0"/>
    </xf>
    <xf numFmtId="166" fontId="5" fillId="0" borderId="7" xfId="5" applyNumberFormat="1" applyFill="1" applyBorder="1" applyAlignment="1">
      <alignment horizontal="right"/>
      <protection locked="0"/>
    </xf>
    <xf numFmtId="166" fontId="4" fillId="0" borderId="0" xfId="9" applyNumberFormat="1" applyAlignment="1">
      <alignment horizontal="right"/>
    </xf>
    <xf numFmtId="166" fontId="4" fillId="0" borderId="0" xfId="9" applyNumberFormat="1" applyFill="1" applyAlignment="1">
      <alignment horizontal="right"/>
    </xf>
    <xf numFmtId="0" fontId="22" fillId="13" borderId="0" xfId="0" applyFont="1" applyFill="1"/>
    <xf numFmtId="0" fontId="23" fillId="14" borderId="0" xfId="0" applyFont="1" applyFill="1" applyAlignment="1">
      <alignment wrapText="1"/>
    </xf>
    <xf numFmtId="0" fontId="23" fillId="14" borderId="0" xfId="0" applyFont="1" applyFill="1" applyAlignment="1">
      <alignment horizontal="right" wrapText="1"/>
    </xf>
    <xf numFmtId="0" fontId="23" fillId="14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23" fillId="14" borderId="0" xfId="0" applyFont="1" applyFill="1"/>
    <xf numFmtId="0" fontId="25" fillId="12" borderId="0" xfId="0" applyFont="1" applyFill="1"/>
    <xf numFmtId="164" fontId="0" fillId="0" borderId="4" xfId="0" applyNumberFormat="1" applyBorder="1" applyAlignment="1">
      <alignment horizontal="right"/>
    </xf>
    <xf numFmtId="164" fontId="8" fillId="13" borderId="1" xfId="12" applyNumberFormat="1" applyFill="1">
      <protection locked="0"/>
    </xf>
    <xf numFmtId="164" fontId="24" fillId="13" borderId="0" xfId="0" applyNumberFormat="1" applyFont="1" applyFill="1"/>
    <xf numFmtId="9" fontId="18" fillId="13" borderId="0" xfId="0" applyNumberFormat="1" applyFont="1" applyFill="1" applyAlignment="1">
      <alignment horizontal="left"/>
    </xf>
    <xf numFmtId="0" fontId="18" fillId="13" borderId="0" xfId="0" applyFont="1" applyFill="1"/>
    <xf numFmtId="169" fontId="4" fillId="0" borderId="0" xfId="9" applyNumberFormat="1" applyAlignment="1">
      <alignment horizontal="right"/>
    </xf>
    <xf numFmtId="169" fontId="4" fillId="0" borderId="0" xfId="9" applyNumberFormat="1" applyFill="1" applyAlignment="1">
      <alignment horizontal="right"/>
    </xf>
    <xf numFmtId="169" fontId="5" fillId="0" borderId="7" xfId="5" applyNumberFormat="1" applyBorder="1" applyAlignment="1">
      <alignment horizontal="right"/>
      <protection locked="0"/>
    </xf>
    <xf numFmtId="169" fontId="5" fillId="0" borderId="7" xfId="5" applyNumberFormat="1" applyFill="1" applyBorder="1" applyAlignment="1">
      <alignment horizontal="right"/>
      <protection locked="0"/>
    </xf>
    <xf numFmtId="9" fontId="2" fillId="9" borderId="3" xfId="14" applyNumberFormat="1" applyBorder="1" applyAlignment="1">
      <alignment horizontal="center"/>
    </xf>
    <xf numFmtId="168" fontId="2" fillId="9" borderId="3" xfId="14" applyNumberFormat="1" applyBorder="1" applyAlignment="1">
      <alignment horizontal="center"/>
    </xf>
    <xf numFmtId="170" fontId="2" fillId="9" borderId="3" xfId="14" applyNumberFormat="1" applyBorder="1" applyAlignment="1">
      <alignment horizontal="center"/>
    </xf>
    <xf numFmtId="0" fontId="26" fillId="13" borderId="0" xfId="0" applyFont="1" applyFill="1"/>
    <xf numFmtId="0" fontId="2" fillId="6" borderId="0" xfId="15" applyBorder="1" applyAlignment="1">
      <alignment horizontal="center" wrapText="1"/>
    </xf>
    <xf numFmtId="0" fontId="2" fillId="6" borderId="0" xfId="15" applyBorder="1" applyAlignment="1">
      <alignment horizontal="centerContinuous"/>
    </xf>
    <xf numFmtId="0" fontId="0" fillId="13" borderId="1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5" fillId="13" borderId="1" xfId="5" applyFill="1" applyAlignment="1">
      <alignment horizontal="center" vertical="center"/>
      <protection locked="0"/>
    </xf>
    <xf numFmtId="0" fontId="2" fillId="6" borderId="15" xfId="15" applyBorder="1" applyAlignment="1">
      <alignment horizontal="center" vertical="center" wrapText="1"/>
    </xf>
    <xf numFmtId="0" fontId="2" fillId="6" borderId="2" xfId="15" applyBorder="1" applyAlignment="1">
      <alignment horizontal="center" vertical="center" wrapText="1"/>
    </xf>
    <xf numFmtId="0" fontId="2" fillId="6" borderId="13" xfId="15" applyBorder="1" applyAlignment="1">
      <alignment horizontal="center" vertical="center" wrapText="1"/>
    </xf>
    <xf numFmtId="0" fontId="2" fillId="2" borderId="0" xfId="13" applyBorder="1" applyAlignment="1">
      <alignment horizontal="center" wrapText="1"/>
    </xf>
    <xf numFmtId="0" fontId="2" fillId="2" borderId="0" xfId="13" applyBorder="1" applyAlignment="1">
      <alignment horizontal="centerContinuous"/>
    </xf>
    <xf numFmtId="0" fontId="2" fillId="2" borderId="15" xfId="13" applyBorder="1" applyAlignment="1">
      <alignment horizontal="center" vertical="center" wrapText="1"/>
    </xf>
    <xf numFmtId="0" fontId="2" fillId="2" borderId="2" xfId="13" applyBorder="1" applyAlignment="1">
      <alignment horizontal="center" vertical="center" wrapText="1"/>
    </xf>
    <xf numFmtId="0" fontId="2" fillId="2" borderId="13" xfId="13" applyBorder="1" applyAlignment="1">
      <alignment horizontal="center" vertical="center" wrapText="1"/>
    </xf>
    <xf numFmtId="9" fontId="4" fillId="13" borderId="0" xfId="9" applyNumberFormat="1" applyFill="1" applyBorder="1" applyAlignment="1">
      <alignment horizontal="center"/>
    </xf>
    <xf numFmtId="0" fontId="24" fillId="13" borderId="0" xfId="0" applyFont="1" applyFill="1" applyAlignment="1">
      <alignment horizontal="center" vertical="center"/>
    </xf>
    <xf numFmtId="9" fontId="4" fillId="13" borderId="16" xfId="9" applyNumberFormat="1" applyFill="1" applyBorder="1" applyAlignment="1">
      <alignment horizontal="center"/>
    </xf>
    <xf numFmtId="0" fontId="18" fillId="13" borderId="17" xfId="0" applyFont="1" applyFill="1" applyBorder="1"/>
    <xf numFmtId="0" fontId="18" fillId="13" borderId="13" xfId="0" applyFont="1" applyFill="1" applyBorder="1" applyAlignment="1">
      <alignment horizontal="right"/>
    </xf>
    <xf numFmtId="0" fontId="0" fillId="13" borderId="13" xfId="0" applyFill="1" applyBorder="1"/>
    <xf numFmtId="0" fontId="0" fillId="0" borderId="15" xfId="0" applyBorder="1" applyAlignment="1">
      <alignment horizontal="right" wrapText="1"/>
    </xf>
    <xf numFmtId="164" fontId="0" fillId="0" borderId="13" xfId="0" applyNumberFormat="1" applyBorder="1" applyAlignment="1">
      <alignment horizontal="right"/>
    </xf>
    <xf numFmtId="0" fontId="18" fillId="13" borderId="15" xfId="0" applyFont="1" applyFill="1" applyBorder="1" applyAlignment="1">
      <alignment horizontal="right"/>
    </xf>
    <xf numFmtId="0" fontId="0" fillId="0" borderId="13" xfId="0" applyBorder="1"/>
    <xf numFmtId="171" fontId="0" fillId="0" borderId="0" xfId="0" applyNumberFormat="1" applyAlignment="1">
      <alignment horizontal="left"/>
    </xf>
    <xf numFmtId="165" fontId="5" fillId="0" borderId="1" xfId="5" applyNumberFormat="1" applyAlignment="1">
      <alignment horizontal="left"/>
      <protection locked="0"/>
    </xf>
    <xf numFmtId="171" fontId="5" fillId="0" borderId="1" xfId="5" applyNumberFormat="1" applyAlignment="1">
      <alignment horizontal="left"/>
      <protection locked="0"/>
    </xf>
    <xf numFmtId="165" fontId="5" fillId="0" borderId="11" xfId="5" applyNumberFormat="1" applyBorder="1" applyAlignment="1">
      <alignment horizontal="left"/>
      <protection locked="0"/>
    </xf>
    <xf numFmtId="0" fontId="0" fillId="0" borderId="2" xfId="0" applyBorder="1"/>
    <xf numFmtId="0" fontId="0" fillId="0" borderId="15" xfId="0" applyBorder="1"/>
    <xf numFmtId="0" fontId="0" fillId="0" borderId="2" xfId="0" applyBorder="1" applyAlignment="1">
      <alignment horizontal="left" wrapText="1"/>
    </xf>
    <xf numFmtId="0" fontId="19" fillId="2" borderId="2" xfId="13" applyFont="1" applyBorder="1" applyAlignment="1">
      <alignment horizontal="left" wrapText="1"/>
    </xf>
    <xf numFmtId="0" fontId="0" fillId="13" borderId="0" xfId="0" applyFill="1" applyAlignment="1">
      <alignment horizontal="left"/>
    </xf>
    <xf numFmtId="0" fontId="0" fillId="13" borderId="4" xfId="0" quotePrefix="1" applyFill="1" applyBorder="1" applyAlignment="1">
      <alignment horizontal="left"/>
    </xf>
    <xf numFmtId="0" fontId="19" fillId="2" borderId="0" xfId="13" applyFont="1" applyAlignment="1">
      <alignment horizontal="left"/>
    </xf>
    <xf numFmtId="167" fontId="0" fillId="0" borderId="13" xfId="0" applyNumberFormat="1" applyBorder="1" applyAlignment="1">
      <alignment horizontal="right"/>
    </xf>
    <xf numFmtId="166" fontId="5" fillId="0" borderId="8" xfId="5" applyNumberFormat="1" applyBorder="1" applyAlignment="1">
      <alignment horizontal="right"/>
      <protection locked="0"/>
    </xf>
    <xf numFmtId="166" fontId="4" fillId="0" borderId="13" xfId="9" applyNumberFormat="1" applyFill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6" xfId="0" applyBorder="1" applyAlignment="1">
      <alignment wrapText="1"/>
    </xf>
    <xf numFmtId="165" fontId="0" fillId="0" borderId="13" xfId="0" applyNumberFormat="1" applyBorder="1" applyAlignment="1">
      <alignment horizontal="left"/>
    </xf>
    <xf numFmtId="0" fontId="1" fillId="13" borderId="0" xfId="8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2" borderId="9" xfId="13" applyFont="1" applyBorder="1" applyAlignment="1">
      <alignment horizontal="left" wrapText="1"/>
    </xf>
    <xf numFmtId="164" fontId="4" fillId="0" borderId="0" xfId="9" applyNumberFormat="1" applyBorder="1" applyAlignment="1">
      <alignment horizontal="left"/>
    </xf>
    <xf numFmtId="164" fontId="5" fillId="0" borderId="18" xfId="5" applyNumberFormat="1" applyBorder="1" applyAlignment="1">
      <alignment horizontal="left"/>
      <protection locked="0"/>
    </xf>
    <xf numFmtId="164" fontId="4" fillId="0" borderId="0" xfId="9" applyNumberFormat="1" applyAlignment="1">
      <alignment horizontal="left"/>
    </xf>
    <xf numFmtId="3" fontId="5" fillId="0" borderId="7" xfId="5" applyNumberFormat="1" applyBorder="1" applyAlignment="1">
      <alignment horizontal="left"/>
      <protection locked="0"/>
    </xf>
    <xf numFmtId="0" fontId="4" fillId="0" borderId="0" xfId="9" applyNumberFormat="1" applyAlignment="1">
      <alignment horizontal="left"/>
    </xf>
    <xf numFmtId="3" fontId="4" fillId="0" borderId="0" xfId="9" applyNumberFormat="1" applyAlignment="1">
      <alignment horizontal="left"/>
    </xf>
    <xf numFmtId="164" fontId="5" fillId="0" borderId="7" xfId="5" applyNumberFormat="1" applyBorder="1" applyAlignment="1">
      <alignment horizontal="left"/>
      <protection locked="0"/>
    </xf>
    <xf numFmtId="164" fontId="5" fillId="0" borderId="7" xfId="5" applyNumberFormat="1" applyFill="1" applyBorder="1" applyAlignment="1">
      <alignment horizontal="left"/>
      <protection locked="0"/>
    </xf>
    <xf numFmtId="164" fontId="4" fillId="0" borderId="0" xfId="9" applyNumberFormat="1" applyFill="1" applyBorder="1" applyAlignment="1">
      <alignment horizontal="left"/>
    </xf>
    <xf numFmtId="164" fontId="4" fillId="0" borderId="0" xfId="9" applyNumberFormat="1" applyFill="1" applyAlignment="1">
      <alignment horizontal="left"/>
    </xf>
    <xf numFmtId="3" fontId="5" fillId="0" borderId="7" xfId="5" applyNumberFormat="1" applyFill="1" applyBorder="1" applyAlignment="1">
      <alignment horizontal="left"/>
      <protection locked="0"/>
    </xf>
    <xf numFmtId="0" fontId="4" fillId="0" borderId="0" xfId="9" applyNumberFormat="1" applyFill="1" applyAlignment="1">
      <alignment horizontal="left"/>
    </xf>
    <xf numFmtId="3" fontId="4" fillId="0" borderId="0" xfId="9" applyNumberFormat="1" applyFill="1" applyAlignment="1">
      <alignment horizontal="left"/>
    </xf>
    <xf numFmtId="164" fontId="4" fillId="0" borderId="13" xfId="9" applyNumberFormat="1" applyFill="1" applyBorder="1" applyAlignment="1">
      <alignment horizontal="left"/>
    </xf>
    <xf numFmtId="3" fontId="4" fillId="0" borderId="0" xfId="9" applyNumberFormat="1" applyBorder="1" applyAlignment="1">
      <alignment horizontal="left"/>
    </xf>
    <xf numFmtId="3" fontId="4" fillId="0" borderId="0" xfId="9" applyNumberFormat="1" applyFill="1" applyBorder="1" applyAlignment="1">
      <alignment horizontal="left"/>
    </xf>
    <xf numFmtId="3" fontId="5" fillId="0" borderId="8" xfId="5" applyNumberFormat="1" applyBorder="1" applyAlignment="1">
      <alignment horizontal="left"/>
      <protection locked="0"/>
    </xf>
    <xf numFmtId="0" fontId="5" fillId="0" borderId="8" xfId="5" applyNumberFormat="1" applyBorder="1" applyAlignment="1">
      <alignment horizontal="left"/>
      <protection locked="0"/>
    </xf>
    <xf numFmtId="0" fontId="5" fillId="0" borderId="7" xfId="5" applyNumberFormat="1" applyBorder="1" applyAlignment="1">
      <alignment horizontal="left"/>
      <protection locked="0"/>
    </xf>
    <xf numFmtId="0" fontId="5" fillId="0" borderId="7" xfId="5" applyNumberFormat="1" applyFill="1" applyBorder="1" applyAlignment="1">
      <alignment horizontal="left"/>
      <protection locked="0"/>
    </xf>
    <xf numFmtId="0" fontId="4" fillId="0" borderId="13" xfId="9" applyNumberFormat="1" applyFill="1" applyBorder="1" applyAlignment="1">
      <alignment horizontal="left"/>
    </xf>
    <xf numFmtId="0" fontId="5" fillId="0" borderId="1" xfId="5" applyNumberFormat="1" applyFill="1" applyAlignment="1">
      <alignment horizontal="left"/>
      <protection locked="0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Alignment="1">
      <alignment horizontal="left"/>
    </xf>
    <xf numFmtId="0" fontId="27" fillId="12" borderId="0" xfId="0" applyFont="1" applyFill="1"/>
    <xf numFmtId="0" fontId="28" fillId="12" borderId="0" xfId="0" applyFont="1" applyFill="1"/>
    <xf numFmtId="0" fontId="29" fillId="12" borderId="0" xfId="0" applyFont="1" applyFill="1"/>
    <xf numFmtId="0" fontId="12" fillId="15" borderId="0" xfId="0" applyFont="1" applyFill="1"/>
    <xf numFmtId="0" fontId="12" fillId="15" borderId="0" xfId="0" quotePrefix="1" applyFont="1" applyFill="1"/>
    <xf numFmtId="0" fontId="31" fillId="12" borderId="0" xfId="0" applyFont="1" applyFill="1"/>
    <xf numFmtId="0" fontId="19" fillId="2" borderId="0" xfId="13" applyFont="1" applyBorder="1" applyAlignment="1">
      <alignment horizontal="right" wrapText="1"/>
    </xf>
    <xf numFmtId="0" fontId="19" fillId="6" borderId="0" xfId="15" applyFont="1" applyBorder="1" applyAlignment="1">
      <alignment horizontal="right" wrapText="1"/>
    </xf>
    <xf numFmtId="0" fontId="20" fillId="13" borderId="0" xfId="0" applyFont="1" applyFill="1" applyAlignment="1">
      <alignment horizontal="right"/>
    </xf>
    <xf numFmtId="0" fontId="20" fillId="13" borderId="0" xfId="0" applyFont="1" applyFill="1" applyAlignment="1">
      <alignment horizontal="center" vertical="center"/>
    </xf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506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3" formatCode="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bottom" textRotation="0" wrapText="1" indent="0" justifyLastLine="0" shrinkToFit="0" readingOrder="0"/>
    </dxf>
    <dxf>
      <numFmt numFmtId="164" formatCode="&quot;$&quot;#,##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border outline="0">
        <left style="thin">
          <color theme="0" tint="-0.34998626667073579"/>
        </left>
      </border>
    </dxf>
    <dxf>
      <alignment horizontal="left" vertical="bottom" textRotation="0" wrapText="0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166" formatCode="&quot;$&quot;#,##0.00"/>
      <alignment horizontal="right" vertical="bottom" textRotation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6" formatCode="&quot;$&quot;#,##0.00"/>
      <alignment horizontal="right" vertical="bottom" textRotation="0" wrapText="0" indent="0" justifyLastLine="0" shrinkToFit="0" readingOrder="0"/>
      <border>
        <left style="thin">
          <color indexed="64"/>
        </left>
      </border>
    </dxf>
    <dxf>
      <numFmt numFmtId="167" formatCode="&quot;$&quot;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indent="0" justifyLastLine="0" shrinkToFit="0" readingOrder="0"/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right style="thin">
          <color indexed="64"/>
        </right>
        <vertical/>
      </border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69" formatCode="[$¥-411]#,##0"/>
      <alignment horizontal="righ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169" formatCode="[$¥-411]#,##0"/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 patternType="none">
          <bgColor auto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2" tint="-0.499984740745262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theme="0"/>
      </font>
      <fill>
        <patternFill>
          <bgColor theme="9"/>
        </patternFill>
      </fill>
      <border>
        <top style="thin">
          <color theme="9"/>
        </top>
      </border>
    </dxf>
    <dxf>
      <font>
        <b/>
        <i val="0"/>
        <color theme="0"/>
      </font>
      <fill>
        <patternFill>
          <bgColor theme="9"/>
        </patternFill>
      </fill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/>
        <i val="0"/>
        <color theme="0"/>
      </font>
      <fill>
        <patternFill>
          <bgColor theme="8"/>
        </patternFill>
      </fill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/>
        <i val="0"/>
        <color theme="0"/>
      </font>
      <fill>
        <patternFill>
          <bgColor theme="7"/>
        </patternFill>
      </fill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0"/>
      </font>
      <fill>
        <patternFill>
          <bgColor theme="6"/>
        </patternFill>
      </fill>
      <border>
        <top style="thin">
          <color theme="6"/>
        </top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theme="0"/>
      </font>
      <fill>
        <patternFill>
          <bgColor theme="5"/>
        </patternFill>
      </fill>
      <border>
        <top style="thin">
          <color theme="5"/>
        </top>
      </border>
    </dxf>
    <dxf>
      <font>
        <b/>
        <i val="0"/>
        <color theme="0"/>
      </font>
      <fill>
        <patternFill>
          <bgColor theme="5"/>
        </patternFill>
      </fill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</border>
    </dxf>
    <dxf>
      <font>
        <b/>
        <i val="0"/>
        <color theme="0"/>
      </font>
      <fill>
        <patternFill>
          <bgColor theme="4"/>
        </patternFill>
      </fill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theme="1"/>
        </patternFill>
      </fill>
      <border>
        <top style="thin">
          <color theme="1"/>
        </top>
      </border>
    </dxf>
    <dxf>
      <font>
        <b/>
        <i val="0"/>
        <color theme="0"/>
      </font>
      <fill>
        <patternFill>
          <bgColor theme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22" defaultTableStyle="Shir Style 01 Gray" defaultPivotStyle="PivotStyleLight16">
    <tableStyle name="Excel Minimal 01 Gray" pivot="0" count="7" xr9:uid="{6759145B-E672-4B6B-911F-C85AA70ABB8C}">
      <tableStyleElement type="wholeTable" dxfId="505"/>
      <tableStyleElement type="headerRow" dxfId="504"/>
      <tableStyleElement type="totalRow" dxfId="503"/>
      <tableStyleElement type="firstColumn" dxfId="502"/>
      <tableStyleElement type="lastColumn" dxfId="501"/>
      <tableStyleElement type="firstRowStripe" dxfId="500"/>
      <tableStyleElement type="firstColumnStripe" dxfId="499"/>
    </tableStyle>
    <tableStyle name="Excel Minimal 02 Blue" pivot="0" count="7" xr9:uid="{AD831262-8318-42F8-BB6E-39D792DB3BC6}">
      <tableStyleElement type="wholeTable" dxfId="498"/>
      <tableStyleElement type="headerRow" dxfId="497"/>
      <tableStyleElement type="totalRow" dxfId="496"/>
      <tableStyleElement type="firstColumn" dxfId="495"/>
      <tableStyleElement type="lastColumn" dxfId="494"/>
      <tableStyleElement type="firstRowStripe" dxfId="493"/>
      <tableStyleElement type="firstColumnStripe" dxfId="492"/>
    </tableStyle>
    <tableStyle name="Excel Minimal 03 Red" pivot="0" count="7" xr9:uid="{35954E23-638C-4454-9F3B-75A417EA958C}">
      <tableStyleElement type="wholeTable" dxfId="491"/>
      <tableStyleElement type="headerRow" dxfId="490"/>
      <tableStyleElement type="totalRow" dxfId="489"/>
      <tableStyleElement type="firstColumn" dxfId="488"/>
      <tableStyleElement type="lastColumn" dxfId="487"/>
      <tableStyleElement type="firstRowStripe" dxfId="486"/>
      <tableStyleElement type="firstColumnStripe" dxfId="485"/>
    </tableStyle>
    <tableStyle name="Excel Minimal 04 Green" pivot="0" count="7" xr9:uid="{6C1ECD0B-1F69-4F08-A015-7657D5AAAE99}">
      <tableStyleElement type="wholeTable" dxfId="484"/>
      <tableStyleElement type="headerRow" dxfId="483"/>
      <tableStyleElement type="totalRow" dxfId="482"/>
      <tableStyleElement type="firstColumn" dxfId="481"/>
      <tableStyleElement type="lastColumn" dxfId="480"/>
      <tableStyleElement type="firstRowStripe" dxfId="479"/>
      <tableStyleElement type="firstColumnStripe" dxfId="478"/>
    </tableStyle>
    <tableStyle name="Excel Minimal 05 Purple" pivot="0" count="7" xr9:uid="{20A09535-52D8-4D2D-8240-898885AC29AD}">
      <tableStyleElement type="wholeTable" dxfId="477"/>
      <tableStyleElement type="headerRow" dxfId="476"/>
      <tableStyleElement type="totalRow" dxfId="475"/>
      <tableStyleElement type="firstColumn" dxfId="474"/>
      <tableStyleElement type="lastColumn" dxfId="473"/>
      <tableStyleElement type="firstRowStripe" dxfId="472"/>
      <tableStyleElement type="firstColumnStripe" dxfId="471"/>
    </tableStyle>
    <tableStyle name="Excel Minimal 06 Light Blue" pivot="0" count="7" xr9:uid="{46D4D46E-9D20-4633-A17C-24108BA052DE}">
      <tableStyleElement type="wholeTable" dxfId="470"/>
      <tableStyleElement type="headerRow" dxfId="469"/>
      <tableStyleElement type="totalRow" dxfId="468"/>
      <tableStyleElement type="firstColumn" dxfId="467"/>
      <tableStyleElement type="lastColumn" dxfId="466"/>
      <tableStyleElement type="firstRowStripe" dxfId="465"/>
      <tableStyleElement type="firstColumnStripe" dxfId="464"/>
    </tableStyle>
    <tableStyle name="Excel Minimal 07 Orange" pivot="0" count="7" xr9:uid="{7A22539F-005A-4AB7-A45D-781B43FE945C}">
      <tableStyleElement type="wholeTable" dxfId="463"/>
      <tableStyleElement type="headerRow" dxfId="462"/>
      <tableStyleElement type="totalRow" dxfId="461"/>
      <tableStyleElement type="firstColumn" dxfId="460"/>
      <tableStyleElement type="lastColumn" dxfId="459"/>
      <tableStyleElement type="firstRowStripe" dxfId="458"/>
      <tableStyleElement type="firstColumnStripe" dxfId="457"/>
    </tableStyle>
    <tableStyle name="Excel Minimal 08 Brown" pivot="0" count="7" xr9:uid="{46476A99-EF23-4F6B-91C3-6E9E9F1A5768}">
      <tableStyleElement type="wholeTable" dxfId="456"/>
      <tableStyleElement type="headerRow" dxfId="455"/>
      <tableStyleElement type="totalRow" dxfId="454"/>
      <tableStyleElement type="firstColumn" dxfId="453"/>
      <tableStyleElement type="lastColumn" dxfId="452"/>
      <tableStyleElement type="firstRowStripe" dxfId="451"/>
      <tableStyleElement type="firstColumnStripe" dxfId="450"/>
    </tableStyle>
    <tableStyle name="Shir Style 01 Gray" pivot="0" count="7" xr9:uid="{00000000-0011-0000-FFFF-FFFF03000000}">
      <tableStyleElement type="wholeTable" dxfId="449"/>
      <tableStyleElement type="headerRow" dxfId="448"/>
      <tableStyleElement type="totalRow" dxfId="447"/>
      <tableStyleElement type="firstColumn" dxfId="446"/>
      <tableStyleElement type="lastColumn" dxfId="445"/>
      <tableStyleElement type="firstRowStripe" dxfId="444"/>
      <tableStyleElement type="firstColumnStripe" dxfId="443"/>
    </tableStyle>
    <tableStyle name="Shir Style 02 Blue" pivot="0" count="7" xr9:uid="{00000000-0011-0000-FFFF-FFFF04000000}">
      <tableStyleElement type="wholeTable" dxfId="442"/>
      <tableStyleElement type="headerRow" dxfId="441"/>
      <tableStyleElement type="totalRow" dxfId="440"/>
      <tableStyleElement type="firstColumn" dxfId="439"/>
      <tableStyleElement type="lastColumn" dxfId="438"/>
      <tableStyleElement type="firstRowStripe" dxfId="437"/>
      <tableStyleElement type="firstColumnStripe" dxfId="436"/>
    </tableStyle>
    <tableStyle name="Shir Style 03 Red" pivot="0" count="7" xr9:uid="{00000000-0011-0000-FFFF-FFFF05000000}">
      <tableStyleElement type="wholeTable" dxfId="435"/>
      <tableStyleElement type="headerRow" dxfId="434"/>
      <tableStyleElement type="totalRow" dxfId="433"/>
      <tableStyleElement type="firstColumn" dxfId="432"/>
      <tableStyleElement type="lastColumn" dxfId="431"/>
      <tableStyleElement type="firstRowStripe" dxfId="430"/>
      <tableStyleElement type="firstColumnStripe" dxfId="429"/>
    </tableStyle>
    <tableStyle name="Shir Style 04 Green" pivot="0" count="7" xr9:uid="{00000000-0011-0000-FFFF-FFFF06000000}">
      <tableStyleElement type="wholeTable" dxfId="428"/>
      <tableStyleElement type="headerRow" dxfId="427"/>
      <tableStyleElement type="totalRow" dxfId="426"/>
      <tableStyleElement type="firstColumn" dxfId="425"/>
      <tableStyleElement type="lastColumn" dxfId="424"/>
      <tableStyleElement type="firstRowStripe" dxfId="423"/>
      <tableStyleElement type="firstColumnStripe" dxfId="422"/>
    </tableStyle>
    <tableStyle name="Shir Style 05 Purple" pivot="0" count="7" xr9:uid="{00000000-0011-0000-FFFF-FFFF07000000}">
      <tableStyleElement type="wholeTable" dxfId="421"/>
      <tableStyleElement type="headerRow" dxfId="420"/>
      <tableStyleElement type="totalRow" dxfId="419"/>
      <tableStyleElement type="firstColumn" dxfId="418"/>
      <tableStyleElement type="lastColumn" dxfId="417"/>
      <tableStyleElement type="firstRowStripe" dxfId="416"/>
      <tableStyleElement type="firstColumnStripe" dxfId="415"/>
    </tableStyle>
    <tableStyle name="Shir Style 06 Light Blue" pivot="0" count="7" xr9:uid="{00000000-0011-0000-FFFF-FFFF08000000}">
      <tableStyleElement type="wholeTable" dxfId="414"/>
      <tableStyleElement type="headerRow" dxfId="413"/>
      <tableStyleElement type="totalRow" dxfId="412"/>
      <tableStyleElement type="firstColumn" dxfId="411"/>
      <tableStyleElement type="lastColumn" dxfId="410"/>
      <tableStyleElement type="firstRowStripe" dxfId="409"/>
      <tableStyleElement type="firstColumnStripe" dxfId="408"/>
    </tableStyle>
    <tableStyle name="Shir Style 07 Orange" pivot="0" count="7" xr9:uid="{00000000-0011-0000-FFFF-FFFF09000000}">
      <tableStyleElement type="wholeTable" dxfId="407"/>
      <tableStyleElement type="headerRow" dxfId="406"/>
      <tableStyleElement type="totalRow" dxfId="405"/>
      <tableStyleElement type="firstColumn" dxfId="404"/>
      <tableStyleElement type="lastColumn" dxfId="403"/>
      <tableStyleElement type="firstRowStripe" dxfId="402"/>
      <tableStyleElement type="firstColumnStripe" dxfId="401"/>
    </tableStyle>
    <tableStyle name="Shir Style 08 Brown" pivot="0" count="7" xr9:uid="{00000000-0011-0000-FFFF-FFFF0A000000}">
      <tableStyleElement type="wholeTable" dxfId="400"/>
      <tableStyleElement type="headerRow" dxfId="399"/>
      <tableStyleElement type="totalRow" dxfId="398"/>
      <tableStyleElement type="firstColumn" dxfId="397"/>
      <tableStyleElement type="lastColumn" dxfId="396"/>
      <tableStyleElement type="firstRowStripe" dxfId="395"/>
      <tableStyleElement type="firstColumnStripe" dxfId="394"/>
    </tableStyle>
    <tableStyle name="Shir Style 09 Lemon" pivot="0" count="7" xr9:uid="{00000000-0011-0000-FFFF-FFFF0B000000}">
      <tableStyleElement type="wholeTable" dxfId="393"/>
      <tableStyleElement type="headerRow" dxfId="392"/>
      <tableStyleElement type="totalRow" dxfId="391"/>
      <tableStyleElement type="firstColumn" dxfId="390"/>
      <tableStyleElement type="lastColumn" dxfId="389"/>
      <tableStyleElement type="firstRowStripe" dxfId="388"/>
      <tableStyleElement type="firstColumnStripe" dxfId="387"/>
    </tableStyle>
    <tableStyle name="Shir Style 10 Pink" pivot="0" count="7" xr9:uid="{00000000-0011-0000-FFFF-FFFF0C000000}">
      <tableStyleElement type="wholeTable" dxfId="386"/>
      <tableStyleElement type="headerRow" dxfId="385"/>
      <tableStyleElement type="totalRow" dxfId="384"/>
      <tableStyleElement type="firstColumn" dxfId="383"/>
      <tableStyleElement type="lastColumn" dxfId="382"/>
      <tableStyleElement type="firstRowStripe" dxfId="381"/>
      <tableStyleElement type="firstColumnStripe" dxfId="380"/>
    </tableStyle>
    <tableStyle name="Shir Style 11 Nude" pivot="0" count="7" xr9:uid="{00000000-0011-0000-FFFF-FFFF0D000000}">
      <tableStyleElement type="wholeTable" dxfId="379"/>
      <tableStyleElement type="headerRow" dxfId="378"/>
      <tableStyleElement type="totalRow" dxfId="377"/>
      <tableStyleElement type="firstColumn" dxfId="376"/>
      <tableStyleElement type="lastColumn" dxfId="375"/>
      <tableStyleElement type="firstRowStripe" dxfId="374"/>
      <tableStyleElement type="firstColumnStripe" dxfId="373"/>
    </tableStyle>
    <tableStyle name="Shir Style 12 Yellow" pivot="0" count="7" xr9:uid="{00000000-0011-0000-FFFF-FFFF0E000000}">
      <tableStyleElement type="wholeTable" dxfId="372"/>
      <tableStyleElement type="headerRow" dxfId="371"/>
      <tableStyleElement type="totalRow" dxfId="370"/>
      <tableStyleElement type="firstColumn" dxfId="369"/>
      <tableStyleElement type="lastColumn" dxfId="368"/>
      <tableStyleElement type="firstRowStripe" dxfId="367"/>
      <tableStyleElement type="firstColumnStripe" dxfId="366"/>
    </tableStyle>
    <tableStyle name="Shir Style 13 Torquoise" pivot="0" count="7" xr9:uid="{00000000-0011-0000-FFFF-FFFF0F000000}">
      <tableStyleElement type="wholeTable" dxfId="365"/>
      <tableStyleElement type="headerRow" dxfId="364"/>
      <tableStyleElement type="totalRow" dxfId="363"/>
      <tableStyleElement type="firstColumn" dxfId="362"/>
      <tableStyleElement type="lastColumn" dxfId="361"/>
      <tableStyleElement type="firstRowStripe" dxfId="360"/>
      <tableStyleElement type="firstColumnStripe" dxfId="359"/>
    </tableStyle>
    <tableStyle name="Shir Style 14 Violet" pivot="0" count="7" xr9:uid="{00000000-0011-0000-FFFF-FFFF10000000}">
      <tableStyleElement type="wholeTable" dxfId="358"/>
      <tableStyleElement type="headerRow" dxfId="357"/>
      <tableStyleElement type="totalRow" dxfId="356"/>
      <tableStyleElement type="firstColumn" dxfId="355"/>
      <tableStyleElement type="lastColumn" dxfId="354"/>
      <tableStyleElement type="firstRowStripe" dxfId="353"/>
      <tableStyleElement type="firstColumnStripe" dxfId="352"/>
    </tableStyle>
  </tableStyles>
  <colors>
    <mruColors>
      <color rgb="FF636568"/>
      <color rgb="FFEBFEFC"/>
      <color rgb="FFD6F6F5"/>
      <color rgb="FF177390"/>
      <color rgb="FF8064A2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1</xdr:row>
      <xdr:rowOff>15241</xdr:rowOff>
    </xdr:from>
    <xdr:to>
      <xdr:col>4</xdr:col>
      <xdr:colOff>600075</xdr:colOff>
      <xdr:row>3</xdr:row>
      <xdr:rowOff>189823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BDCA9-19F9-47DE-9430-166B15F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00966"/>
          <a:ext cx="2392680" cy="555582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28575</xdr:rowOff>
    </xdr:from>
    <xdr:to>
      <xdr:col>6</xdr:col>
      <xdr:colOff>152400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82192-5C22-44F0-82B9-C61CCF29B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114300"/>
          <a:ext cx="571500" cy="571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9B4E4-B495-4D6B-9264-91B22154E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28E8DF-1008-4EBB-B212-8EAE83BC3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CFF0B-2A88-4253-8944-375A5F6E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4</xdr:col>
      <xdr:colOff>54769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63064-40F8-471A-811D-C914413A7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36ED8-476B-4652-AFB2-6E6689C6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E5882-5C7C-4B69-97FA-B8717D4E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80784-6F46-4ACC-89D0-7422A934F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79E73B-EE7F-47B0-BAD5-7ED75629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A55325-42E1-49DD-ACAC-95958007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F1A4EE-19E7-4D98-B305-9AC83DD054ED}" name="Tbl_A1_RelRef_01" displayName="Tbl_A1_RelRef_01" ref="B5:G9" headerRowDxfId="349" dataDxfId="347" headerRowBorderDxfId="348">
  <tableColumns count="6">
    <tableColumn id="2" xr3:uid="{88CCB6DC-BEA5-4EA3-BBF3-6BF33AC20644}" name="ID" totalsRowLabel="Total" dataDxfId="346" totalsRowDxfId="345"/>
    <tableColumn id="3" xr3:uid="{9B6CB4EA-373D-482D-B515-D53D93C0A654}" name="Contractor Name" dataDxfId="344" totalsRowDxfId="343"/>
    <tableColumn id="23" xr3:uid="{3F177621-042A-4ED6-B7DB-CA1A7221FD25}" name="Payment 01" dataDxfId="342"/>
    <tableColumn id="24" xr3:uid="{D6CC2087-D2E3-4AF1-9AC2-586B1EB5B9DB}" name="Payment 02" dataDxfId="341"/>
    <tableColumn id="25" xr3:uid="{454C2B6D-27B8-438B-B034-685B8565B8A7}" name="Payment 03" dataDxfId="340"/>
    <tableColumn id="26" xr3:uid="{6574E302-33B0-448E-8AF1-2689E4E0548A}" name="Payment 04" dataDxfId="339"/>
  </tableColumns>
  <tableStyleInfo name="Excel Minimal 08 Brown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3A9A339-76D8-424E-84C0-B0A1BE9D8D3F}" name="Tbl_BONUS_02_MathReport_ReportFilters_01" displayName="Tbl_BONUS_02_MathReport_ReportFilters_01" ref="S9:T12" totalsRowShown="0" headerRowDxfId="165" dataDxfId="164">
  <tableColumns count="2">
    <tableColumn id="1" xr3:uid="{9C694FE1-E652-42ED-9690-E934C5F7D95D}" name="Filter Name" dataDxfId="163"/>
    <tableColumn id="2" xr3:uid="{3CD436F9-1F8B-49E5-A3E4-9B4714263ECA}" name="Filter Value" dataDxfId="162"/>
  </tableColumns>
  <tableStyleInfo name="Shir Style 01 Gray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B85CE16-2279-4CC2-8318-6135DBB791E2}" name="Tbl_BONUS_02_MathReport_SumPaymentsOverTime_01" displayName="Tbl_BONUS_02_MathReport_SumPaymentsOverTime_01" ref="B9:L17" headerRowDxfId="161" dataDxfId="159" headerRowBorderDxfId="160">
  <tableColumns count="11">
    <tableColumn id="2" xr3:uid="{E795BABC-5A2C-4197-AB3B-9623B585C9BC}" name="ID" totalsRowLabel="Total" dataDxfId="158" totalsRowDxfId="157"/>
    <tableColumn id="3" xr3:uid="{5B8D13BE-4987-429C-9CB6-C1324DE901DF}" name="Vendor Name" dataDxfId="156" totalsRowDxfId="155"/>
    <tableColumn id="5" xr3:uid="{A5DC91D9-20BC-41F1-A4FF-E687B637EF28}" name="2020" totalsRowFunction="count" dataDxfId="154" dataCellStyle="Input"/>
    <tableColumn id="1" xr3:uid="{41B8659F-AE8C-4180-8FBF-F7962E5775CB}" name="Answer Status Q01" dataDxfId="153" totalsRowDxfId="152">
      <calculatedColumnFormula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calculatedColumnFormula>
    </tableColumn>
    <tableColumn id="6" xr3:uid="{077837A2-7D78-410F-9C64-2C4F3C4F0A4E}" name="2020 ANS" dataDxfId="151" dataCellStyle="Highlight Difference">
      <calculatedColumnFormula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calculatedColumnFormula>
    </tableColumn>
    <tableColumn id="4" xr3:uid="{81033B2B-239C-4469-86B8-3AA9E4698A18}" name="2021" dataDxfId="150" totalsRowDxfId="149"/>
    <tableColumn id="7" xr3:uid="{E1A1B2D7-ECB0-4043-9ECC-BDFAFBEEFFD5}" name="Answer Status Q02" dataDxfId="148" totalsRowDxfId="147">
      <calculatedColumnFormula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calculatedColumnFormula>
    </tableColumn>
    <tableColumn id="8" xr3:uid="{4DA94443-2DC8-4068-815A-05EBED033605}" name="2021 ANS" dataDxfId="146" totalsRowDxfId="145" dataCellStyle="Highlight Difference">
      <calculatedColumnFormula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calculatedColumnFormula>
    </tableColumn>
    <tableColumn id="9" xr3:uid="{5AB6C18B-2D68-41B7-B39D-E7A17A7BBED8}" name="2022" dataDxfId="144" totalsRowDxfId="143"/>
    <tableColumn id="10" xr3:uid="{EC825E27-57CD-468C-8C47-585D682A7950}" name="Answer Status Q03" dataDxfId="142" totalsRowDxfId="141">
      <calculatedColumnFormula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calculatedColumnFormula>
    </tableColumn>
    <tableColumn id="11" xr3:uid="{44E0AD4F-171E-489D-B86D-6B42EDFFAD51}" name="2022 ANS" dataDxfId="140" totalsRowDxfId="139" dataCellStyle="Highlight Difference">
      <calculatedColumnFormula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calculatedColumnFormula>
    </tableColumn>
  </tableColumns>
  <tableStyleInfo name="Excel Minimal 02 Blu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FE0945F-7CA7-401A-8C45-053671E5D985}" name="Tbl_B6_TextFunctions_01" displayName="Tbl_B6_TextFunctions_01" ref="B7:V31" headerRowDxfId="136" dataDxfId="134" headerRowBorderDxfId="135">
  <tableColumns count="21">
    <tableColumn id="2" xr3:uid="{807C045A-51F5-41F3-A4F5-25F78F89DBE4}" name="ID" totalsRowLabel="Total" dataDxfId="133" totalsRowDxfId="132"/>
    <tableColumn id="3" xr3:uid="{FDC489F6-E2B2-4CB9-869A-EAA814973E42}" name="PO Code" dataDxfId="131" totalsRowDxfId="130"/>
    <tableColumn id="5" xr3:uid="{B38DCA89-87DF-48E4-B53C-F8859CA50664}" name="Character Count of PO Code" totalsRowFunction="count" dataDxfId="129" dataCellStyle="Input"/>
    <tableColumn id="1" xr3:uid="{B7690729-E64A-4FF5-AD67-F08C784AAD15}" name="Answer Status Q01" dataDxfId="128" totalsRowDxfId="127">
      <calculatedColumnFormula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calculatedColumnFormula>
    </tableColumn>
    <tableColumn id="6" xr3:uid="{2CA0B323-C45D-4FE2-B97A-459FA3ABE121}" name="Character Count of PO Code ANS" dataDxfId="126" dataCellStyle="Highlight Difference">
      <calculatedColumnFormula>LEN(Tbl_B6_TextFunctions_01[[#This Row],[PO Code]])</calculatedColumnFormula>
    </tableColumn>
    <tableColumn id="16" xr3:uid="{1E61A011-6844-45C8-A05C-826E5F20E56A}" name="PO Code Extra Spaces" dataDxfId="125" dataCellStyle="Highlight Difference"/>
    <tableColumn id="7" xr3:uid="{43011496-603E-4509-932E-E2F337138CAD}" name="PO Code Extra Spaces Trimmed" dataDxfId="124" dataCellStyle="Input"/>
    <tableColumn id="8" xr3:uid="{7AC16596-F331-4330-BD43-EB95EDB6887E}" name="Answer Status Q02" dataDxfId="123" totalsRowDxfId="122">
      <calculatedColumnFormula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calculatedColumnFormula>
    </tableColumn>
    <tableColumn id="9" xr3:uid="{49EFF614-44BA-4228-BEB3-2180FE2632ED}" name="PO Code Extra Spaces Trimmed ANS" dataDxfId="121" totalsRowDxfId="120" dataCellStyle="Highlight Difference">
      <calculatedColumnFormula>TRIM(Tbl_B6_TextFunctions_01[[#This Row],[PO Code Extra Spaces]])</calculatedColumnFormula>
    </tableColumn>
    <tableColumn id="10" xr3:uid="{0DB3303E-74C4-4DDB-BB28-DDDEABE5FAB1}" name="Is PO Code Exactly the Same as Trimmed PO Code?" dataDxfId="119" totalsRowDxfId="118"/>
    <tableColumn id="11" xr3:uid="{618B35A6-53AF-41E4-896A-6417858C9E6E}" name="Answer Status Q03" dataDxfId="117" totalsRowDxfId="116">
      <calculatedColumnFormula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calculatedColumnFormula>
    </tableColumn>
    <tableColumn id="12" xr3:uid="{5061A432-1DCB-41ED-AC40-17F7A605A302}" name="Is PO Code Exactly the Same as Trimmed PO Code? ANS" dataDxfId="115" totalsRowDxfId="114">
      <calculatedColumnFormula>EXACT(Tbl_B6_TextFunctions_01[[#This Row],[PO Code]],Tbl_B6_TextFunctions_01[[#This Row],[PO Code Extra Spaces Trimmed]])</calculatedColumnFormula>
    </tableColumn>
    <tableColumn id="13" xr3:uid="{9D52F794-4DEE-45CD-B0C4-6DC000029D3E}" name="First 2 Characters of PO Code" dataDxfId="113" totalsRowDxfId="112"/>
    <tableColumn id="14" xr3:uid="{39ECDEE9-56F4-4D26-8E21-FE3C73EDD568}" name="Answer Status Q04" dataDxfId="111" totalsRowDxfId="110">
      <calculatedColumnFormula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calculatedColumnFormula>
    </tableColumn>
    <tableColumn id="15" xr3:uid="{39CE6072-9182-4CD6-8BFE-DB9A591DA787}" name="First 2 Characters of PO Code ANS" dataDxfId="109" totalsRowDxfId="108">
      <calculatedColumnFormula>LEFT(Tbl_B6_TextFunctions_01[[#This Row],[PO Code]],2)</calculatedColumnFormula>
    </tableColumn>
    <tableColumn id="20" xr3:uid="{6400AC10-9322-47BC-B313-E5ABEC502E56}" name="Last 4 Characters of PO Code" dataDxfId="107" totalsRowDxfId="106"/>
    <tableColumn id="21" xr3:uid="{EE22DE60-49AB-433B-B612-0336259AD6DB}" name="Answer Status Q05" dataDxfId="105" totalsRowDxfId="104">
      <calculatedColumnFormula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calculatedColumnFormula>
    </tableColumn>
    <tableColumn id="22" xr3:uid="{DD93C5D0-9028-4930-A689-28E9CB61D792}" name="Last 4 Characters of PO Code ANS" dataDxfId="103" totalsRowDxfId="102">
      <calculatedColumnFormula>RIGHT(Tbl_B6_TextFunctions_01[[#This Row],[PO Code]],4)</calculatedColumnFormula>
    </tableColumn>
    <tableColumn id="19" xr3:uid="{8228DAAE-E3F6-405C-AB68-B9F07AF45FD1}" name="4th &amp; 5th Characters of PO Code" dataDxfId="101" totalsRowDxfId="100"/>
    <tableColumn id="27" xr3:uid="{2F29E428-B25E-4772-AACC-E3B045908EA0}" name="Answer Status Q06" dataDxfId="99" totalsRowDxfId="98">
      <calculatedColumnFormula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calculatedColumnFormula>
    </tableColumn>
    <tableColumn id="28" xr3:uid="{72359056-70AA-4440-BD3E-A8597A0708FF}" name="4th &amp; 5th Characters of PO Code ANS" dataDxfId="97" totalsRowDxfId="96">
      <calculatedColumnFormula>MID(Tbl_B6_TextFunctions_01[[#This Row],[PO Code]],4,2)</calculatedColumnFormula>
    </tableColumn>
  </tableColumns>
  <tableStyleInfo name="Excel Minimal 04 Green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8738465-DE2A-4E80-83A9-8F40A46D7DEE}" name="Tbl_BONUS_03_TextFunctions_01" displayName="Tbl_BONUS_03_TextFunctions_01" ref="B7:AQ31" headerRowDxfId="93" dataDxfId="91" headerRowBorderDxfId="92">
  <tableColumns count="42">
    <tableColumn id="2" xr3:uid="{55382AE4-8373-494F-A37E-9A6F3780F489}" name="ID" totalsRowLabel="Total" dataDxfId="90" totalsRowDxfId="89"/>
    <tableColumn id="3" xr3:uid="{5186B658-4EA5-4AED-85CE-0178E78B30F4}" name="PO Code" dataDxfId="88" totalsRowDxfId="87"/>
    <tableColumn id="5" xr3:uid="{57E3DF93-69AB-4872-928B-96954FC84B95}" name="Position of 1st &quot;.&quot; (period) in PO Code" totalsRowFunction="count" dataDxfId="86" dataCellStyle="Input"/>
    <tableColumn id="1" xr3:uid="{E62C8E95-BF85-4436-A59A-97965B47294E}" name="Answer Status Q01" dataDxfId="85" totalsRowDxfId="84">
      <calculatedColumnFormula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calculatedColumnFormula>
    </tableColumn>
    <tableColumn id="6" xr3:uid="{3D6F41AC-66D6-4D0B-8E7D-9BB584FADF0D}" name="Position of 1st &quot;.&quot; (period) in PO Code ANS" dataDxfId="83" dataCellStyle="Highlight Difference">
      <calculatedColumnFormula>SEARCH(".",Tbl_BONUS_03_TextFunctions_01[[#This Row],[PO Code]])</calculatedColumnFormula>
    </tableColumn>
    <tableColumn id="7" xr3:uid="{C9FFBACE-078F-468A-99BE-B1AED08C17AA}" name="Position of 2nd &quot;.&quot; (period) in PO Code" dataDxfId="82" dataCellStyle="Input"/>
    <tableColumn id="8" xr3:uid="{112A13BC-71C0-4BBA-8BF6-31FC4CD9F937}" name="Answer Status Q02" dataDxfId="81" totalsRowDxfId="80">
      <calculatedColumnFormula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calculatedColumnFormula>
    </tableColumn>
    <tableColumn id="9" xr3:uid="{A5E1802E-E801-4929-BE7F-75948BA93640}" name="Position of 2nd &quot;.&quot; (period) in PO Code ANS" dataDxfId="79" totalsRowDxfId="78" dataCellStyle="Highlight Difference">
      <calculatedColumnFormula>SEARCH(".",Tbl_BONUS_03_TextFunctions_01[[#This Row],[PO Code]],Tbl_BONUS_03_TextFunctions_01[[#This Row],[Position of 1st "." (period) in PO Code]]+1)</calculatedColumnFormula>
    </tableColumn>
    <tableColumn id="10" xr3:uid="{279851D7-189A-40F6-9879-C7FAE2E097FD}" name="Position of 3rd &quot;.&quot; (period) in PO Code" dataDxfId="77" totalsRowDxfId="76"/>
    <tableColumn id="11" xr3:uid="{51D31B59-6C60-4B24-A53A-C47B66082348}" name="Answer Status Q03" dataDxfId="75" totalsRowDxfId="74">
      <calculatedColumnFormula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calculatedColumnFormula>
    </tableColumn>
    <tableColumn id="12" xr3:uid="{1799B1C9-F1C2-4D2D-B250-FAFBBFAF2748}" name="Position of 3rd &quot;.&quot; (period) in PO Code ANS" dataDxfId="73" totalsRowDxfId="72">
      <calculatedColumnFormula>SEARCH(".",Tbl_BONUS_03_TextFunctions_01[[#This Row],[PO Code]],Tbl_BONUS_03_TextFunctions_01[[#This Row],[Position of 2nd "." (period) in PO Code]]+1)</calculatedColumnFormula>
    </tableColumn>
    <tableColumn id="13" xr3:uid="{B58805F3-1DA4-4971-9E6A-B879B1DAB66E}" name="Contents of 1st Part of PO Code" dataDxfId="71" totalsRowDxfId="70"/>
    <tableColumn id="14" xr3:uid="{BB88CA97-7EE7-49BA-BBE8-8BF54D9298BD}" name="Answer Status Q04" dataDxfId="69" totalsRowDxfId="68">
      <calculatedColumnFormula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calculatedColumnFormula>
    </tableColumn>
    <tableColumn id="15" xr3:uid="{F929443D-591E-402E-98BA-A85B4FB2DFB7}" name="Contents of 1st Part of PO Code ANS" dataDxfId="67" totalsRowDxfId="66">
      <calculatedColumnFormula>LEFT(Tbl_BONUS_03_TextFunctions_01[[#This Row],[PO Code]],Tbl_BONUS_03_TextFunctions_01[[#This Row],[Position of 1st "." (period) in PO Code]]-1)</calculatedColumnFormula>
    </tableColumn>
    <tableColumn id="20" xr3:uid="{9D54A96D-649B-4BEF-9F21-4F7B8CED3FBC}" name="Contents of 2nd Part of PO Code" dataDxfId="65" totalsRowDxfId="64"/>
    <tableColumn id="21" xr3:uid="{32BF26F6-42FE-4793-9809-14D5574D7271}" name="Answer Status Q05" dataDxfId="63" totalsRowDxfId="62">
      <calculatedColumnFormula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calculatedColumnFormula>
    </tableColumn>
    <tableColumn id="22" xr3:uid="{581418A4-E15A-44D9-BB0A-589A34A5841C}" name="Contents of 2nd Part of PO Code ANS" dataDxfId="61" totalsRowDxfId="60">
      <calculatedColumnFormula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calculatedColumnFormula>
    </tableColumn>
    <tableColumn id="19" xr3:uid="{16D4BC29-CC0C-4D07-83D5-46B901619245}" name="Contents of 3rd Part of PO Code" dataDxfId="59" totalsRowDxfId="58"/>
    <tableColumn id="27" xr3:uid="{07E02B9A-CB74-4121-B9AD-1C558F794A77}" name="Answer Status Q06" dataDxfId="57" totalsRowDxfId="56">
      <calculatedColumnFormula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calculatedColumnFormula>
    </tableColumn>
    <tableColumn id="28" xr3:uid="{DCC2CC5C-77CE-46D0-837E-91DC8F07F12A}" name="Contents of 3rd Part of PO Code ANS" dataDxfId="55" totalsRowDxfId="54">
      <calculatedColumnFormula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calculatedColumnFormula>
    </tableColumn>
    <tableColumn id="29" xr3:uid="{B2AD078E-8A58-4C01-A822-DB61FEA6DF2C}" name="Parts 1, 2, and 3 of PO Code, Separated by &quot;.&quot; (period) using &amp;" dataDxfId="53" totalsRowDxfId="52"/>
    <tableColumn id="30" xr3:uid="{9021B5DA-78D7-4731-937D-58643E43400C}" name="Answer Status Q07" dataDxfId="51" totalsRowDxfId="50">
      <calculatedColumnFormula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calculatedColumnFormula>
    </tableColumn>
    <tableColumn id="31" xr3:uid="{C28C3E32-F6F1-49E7-A579-D7D7407E928E}" name="Parts 1, 2, and 3 of PO Code, Separated by &quot;.&quot; (period) using &amp; ANS" dataDxfId="49" totalsRowDxfId="48">
      <calculatedColumnFormula>Tbl_BONUS_03_TextFunctions_01[[#This Row],[Contents of 1st Part of PO Code]] &amp; "." &amp; Tbl_BONUS_03_TextFunctions_01[[#This Row],[Contents of 2nd Part of PO Code]] &amp; "." &amp; Tbl_BONUS_03_TextFunctions_01[[#This Row],[Contents of 3rd Part of PO Code]]</calculatedColumnFormula>
    </tableColumn>
    <tableColumn id="41" xr3:uid="{63866E27-80D2-4009-A66C-46441C13FDC7}" name="Parts 1, 2, and 3 of PO Code, Separated by &quot;.&quot; (period) using CONCATENATE" dataDxfId="47" totalsRowDxfId="46"/>
    <tableColumn id="42" xr3:uid="{AC31967C-CA0F-42BD-8D35-8CCD7B49E984}" name="Answer Status Q08" dataDxfId="45" totalsRowDxfId="44">
      <calculatedColumnFormula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calculatedColumnFormula>
    </tableColumn>
    <tableColumn id="43" xr3:uid="{FA4C6AE6-0F1F-4E12-BB56-CC10A98CFF6E}" name="Parts 1, 2, and 3 of PO Code, Separated by &quot;.&quot; (period) using CONCATENATE ANS" dataDxfId="43" totalsRowDxfId="42">
      <calculatedColumnFormula>CONCATENATE(Tbl_BONUS_03_TextFunctions_01[[#This Row],[Contents of 1st Part of PO Code]],".",Tbl_BONUS_03_TextFunctions_01[[#This Row],[Contents of 2nd Part of PO Code]],".",Tbl_BONUS_03_TextFunctions_01[[#This Row],[Contents of 3rd Part of PO Code]])</calculatedColumnFormula>
    </tableColumn>
    <tableColumn id="36" xr3:uid="{72CC533D-A6F4-42A0-BE96-AEF5D6047DB2}" name="Parts 1, 2, and 3 of PO Code, Separated by &quot;.&quot; (period) using TEXTJOIN" dataDxfId="41" totalsRowDxfId="40" dataCellStyle="Highlight Difference"/>
    <tableColumn id="37" xr3:uid="{0A60D213-A932-4A34-BEE6-67ACCC40FC3B}" name="Answer Status Q09" dataDxfId="39" totalsRowDxfId="38" dataCellStyle="Highlight Difference">
      <calculatedColumnFormula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calculatedColumnFormula>
    </tableColumn>
    <tableColumn id="38" xr3:uid="{1F6348EE-593C-48BA-904F-B87ADCF99BF1}" name="Parts 1, 2, and 3 of PO Code, Separated by &quot;.&quot; (period) using TEXTJOIN ANS" dataDxfId="37" totalsRowDxfId="36" dataCellStyle="Highlight Difference">
      <calculatedColumnFormula>_xlfn.TEXTJOIN(".",TRUE,Tbl_BONUS_03_TextFunctions_01[[#This Row],[Contents of 1st Part of PO Code]],Tbl_BONUS_03_TextFunctions_01[[#This Row],[Contents of 2nd Part of PO Code]],Tbl_BONUS_03_TextFunctions_01[[#This Row],[Contents of 3rd Part of PO Code]])</calculatedColumnFormula>
    </tableColumn>
    <tableColumn id="33" xr3:uid="{85D684E5-7E9A-4EA0-A8F2-FEDCDBF9DFDF}" name="SUBSTITUTE &quot;.&quot; (period) with &quot;_&quot; (underscore) in PO Code" dataDxfId="35" totalsRowDxfId="34" dataCellStyle="Highlight Difference"/>
    <tableColumn id="34" xr3:uid="{E8B2E80D-812D-4849-B1A3-4CEE577CDE49}" name="Answer Status Q10" dataDxfId="33" totalsRowDxfId="32" dataCellStyle="Highlight Difference">
      <calculatedColumnFormula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calculatedColumnFormula>
    </tableColumn>
    <tableColumn id="35" xr3:uid="{5AB41534-B54A-4109-898F-22B4BF2ACCE4}" name="SUBSTITUTE &quot;.&quot; (period) with &quot;_&quot; (underscore) in PO Code ANS" dataDxfId="31" totalsRowDxfId="30" dataCellStyle="Highlight Difference">
      <calculatedColumnFormula>SUBSTITUTE(Tbl_BONUS_03_TextFunctions_01[[#This Row],[PO Code]],".","_")</calculatedColumnFormula>
    </tableColumn>
    <tableColumn id="39" xr3:uid="{A1248AF1-39EA-4A3E-B0FF-269A4C28C9EA}" name="Vendor Messy Casing" dataDxfId="29" totalsRowDxfId="28" dataCellStyle="Highlight Difference"/>
    <tableColumn id="25" xr3:uid="{B11714B8-D704-488F-8E57-3CFCBA4D7BC5}" name="Vendor LOWER Case" dataDxfId="27" totalsRowDxfId="26" dataCellStyle="Highlight Difference"/>
    <tableColumn id="26" xr3:uid="{41D06DB7-D291-460A-B21E-756F49C872F7}" name="Answer Status Q11" dataDxfId="25" totalsRowDxfId="24" dataCellStyle="Highlight Difference">
      <calculatedColumnFormula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calculatedColumnFormula>
    </tableColumn>
    <tableColumn id="32" xr3:uid="{83EA3E40-7604-4A21-9D5A-4F4291EDF434}" name="Vendor LOWER Case ANS" dataDxfId="23" totalsRowDxfId="22" dataCellStyle="Highlight Difference">
      <calculatedColumnFormula>LOWER(Tbl_BONUS_03_TextFunctions_01[[#This Row],[Vendor Messy Casing]])</calculatedColumnFormula>
    </tableColumn>
    <tableColumn id="4" xr3:uid="{A0764610-818D-42C0-9F06-AE1093E47A08}" name="Vendor UPPER Case" dataDxfId="21" totalsRowDxfId="20" dataCellStyle="Highlight Difference"/>
    <tableColumn id="23" xr3:uid="{1E6B36FA-8B1B-4F5D-8713-75B398733CA4}" name="Answer Status Q12" dataDxfId="19" totalsRowDxfId="18" dataCellStyle="Highlight Difference">
      <calculatedColumnFormula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calculatedColumnFormula>
    </tableColumn>
    <tableColumn id="24" xr3:uid="{36D5A4EE-32FD-49A9-BEE9-150165035562}" name="Vendor UPPER Case ANS" dataDxfId="17" totalsRowDxfId="16" dataCellStyle="Highlight Difference">
      <calculatedColumnFormula>UPPER(Tbl_BONUS_03_TextFunctions_01[[#This Row],[Vendor Messy Casing]])</calculatedColumnFormula>
    </tableColumn>
    <tableColumn id="16" xr3:uid="{3FD3A001-730D-482B-A674-2E2674F07178}" name="Vendor Proper Case" dataDxfId="15" totalsRowDxfId="14" dataCellStyle="Input"/>
    <tableColumn id="17" xr3:uid="{FA4432FB-060C-4EED-8513-439C3ACA3399}" name="Answer Status Q13" dataDxfId="13" totalsRowDxfId="12">
      <calculatedColumnFormula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calculatedColumnFormula>
    </tableColumn>
    <tableColumn id="18" xr3:uid="{B31330CA-6FA9-4ADF-B52F-7E8612F31F40}" name="Vendor Proper Case ANS" dataDxfId="11" totalsRowDxfId="10" dataCellStyle="Highlight Difference">
      <calculatedColumnFormula>PROPER(Tbl_BONUS_03_TextFunctions_01[[#This Row],[Vendor Messy Casing]])</calculatedColumnFormula>
    </tableColumn>
  </tableColumns>
  <tableStyleInfo name="Excel Minimal 03 Red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C7441-ECBE-4085-B0DC-8767620C7246}" name="Tbl_Lkp_AnswerStatus" displayName="Tbl_Lkp_AnswerStatus" ref="A1:A3" totalsRowShown="0" headerRowDxfId="9" dataDxfId="7" headerRowBorderDxfId="8" dataCellStyle="Input">
  <tableColumns count="1">
    <tableColumn id="1" xr3:uid="{606B3AE7-9357-4585-9082-7623F6ECB3BD}" name="Answer Status" dataDxfId="6" dataCellStyle="Input"/>
  </tableColumns>
  <tableStyleInfo name="Shir Style 01 Gray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B2BE6F-8AAD-4878-BA6D-A7550EE48C00}" name="Tbl_Lkp_FormulaElement" displayName="Tbl_Lkp_FormulaElement" ref="E1:E5" totalsRowShown="0" headerRowDxfId="5" headerRowBorderDxfId="4" dataCellStyle="Input">
  <tableColumns count="1">
    <tableColumn id="1" xr3:uid="{987B6ADC-72FA-4368-8406-3BF17F9519CD}" name="Formula Element" dataCellStyle="Input"/>
  </tableColumns>
  <tableStyleInfo name="Shir Style 01 Gray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459937-BB06-4384-B2DC-C8246E4B493E}" name="Tbl_Lkp_YN" displayName="Tbl_Lkp_YN" ref="C1:C3" totalsRowShown="0" headerRowDxfId="3" dataDxfId="1" headerRowBorderDxfId="2" dataCellStyle="Input">
  <tableColumns count="1">
    <tableColumn id="1" xr3:uid="{BA323957-E49C-46CE-8727-E794AE383131}" name="YesNo" dataDxfId="0" dataCellStyle="Input"/>
  </tableColumns>
  <tableStyleInfo name="Shir Style 01 Gray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F0C10C5-E840-4B51-8B01-27237ED0462E}" name="Tbl_A2_AbsRef_01" displayName="Tbl_A2_AbsRef_01" ref="B9:M33" headerRowDxfId="336" dataDxfId="334" headerRowBorderDxfId="335">
  <tableColumns count="12">
    <tableColumn id="2" xr3:uid="{7452763F-4ED3-4996-9B05-1D7EA8320F92}" name="ID" totalsRowLabel="Total" dataDxfId="333" totalsRowDxfId="332"/>
    <tableColumn id="3" xr3:uid="{DCEF445D-816A-453E-9491-19F723BD7D9D}" name="Contractor Name" dataDxfId="331" totalsRowDxfId="330"/>
    <tableColumn id="4" xr3:uid="{C59B06D4-5A2A-483D-BF7C-420A4FE0FA4A}" name="Invoice Amount" dataDxfId="329"/>
    <tableColumn id="5" xr3:uid="{080A6918-12FB-4503-94DF-B7CA82DE973F}" name="Invoice Discount Amount" totalsRowFunction="count" dataDxfId="328" dataCellStyle="Input"/>
    <tableColumn id="1" xr3:uid="{9ECF954A-71D1-48A7-B319-46AAF12D033E}" name="Answer Status Q01" dataDxfId="327" totalsRowDxfId="326">
      <calculatedColumnFormula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calculatedColumnFormula>
    </tableColumn>
    <tableColumn id="6" xr3:uid="{52CAA258-DF87-4051-AA2D-6249F6510EB2}" name="Invoice Discount Amount ANS" dataDxfId="325" dataCellStyle="Highlight Difference">
      <calculatedColumnFormula>Tbl_A2_AbsRef_01[[#This Row],[Invoice Amount]]*$F$4</calculatedColumnFormula>
    </tableColumn>
    <tableColumn id="7" xr3:uid="{05AA7A6B-DBB0-4855-8902-23DDB8658F81}" name="Invoice Sales Tax" dataDxfId="324" dataCellStyle="Input"/>
    <tableColumn id="8" xr3:uid="{E1FD931F-30CD-44DD-8816-123A33D0A502}" name="Answer Status Q02" dataDxfId="323" totalsRowDxfId="322">
      <calculatedColumnFormula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calculatedColumnFormula>
    </tableColumn>
    <tableColumn id="9" xr3:uid="{0005907D-D17B-4860-99E0-E0AAF6EA13E2}" name="Invoice Sales Tax ANS" dataDxfId="321" totalsRowDxfId="320" dataCellStyle="Highlight Difference">
      <calculatedColumnFormula>Tbl_A2_AbsRef_01[[#This Row],[Invoice Amount]]*$I$4</calculatedColumnFormula>
    </tableColumn>
    <tableColumn id="10" xr3:uid="{CEA82E59-1D69-4CAF-9C01-F70D7192DD08}" name="Invoice Amount JPY" dataDxfId="319" totalsRowDxfId="318"/>
    <tableColumn id="11" xr3:uid="{8132A294-2579-4CE3-8E79-7951652265D0}" name="Answer Status Q03" dataDxfId="317" totalsRowDxfId="316">
      <calculatedColumnFormula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calculatedColumnFormula>
    </tableColumn>
    <tableColumn id="12" xr3:uid="{F21AA85C-5AF2-4FB2-B6DC-CD4496A2D47E}" name="Invoice Amount JPY ANS" dataDxfId="315" totalsRowDxfId="314">
      <calculatedColumnFormula>Tbl_A2_AbsRef_01[[#This Row],[Invoice Amount]]*$L$4</calculatedColumnFormula>
    </tableColumn>
  </tableColumns>
  <tableStyleInfo name="Excel Minimal 08 Brow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D60AC32-51F8-4D8C-B2A0-B3AD7DF1B595}" name="Tbl_A4_MathFunctions_01" displayName="Tbl_A4_MathFunctions_01" ref="B7:W31" headerRowDxfId="309" dataDxfId="307" headerRowBorderDxfId="308">
  <tableColumns count="22">
    <tableColumn id="2" xr3:uid="{1D1A4CA0-8961-416B-A7C3-1554D4A68D81}" name="ID" totalsRowLabel="Total" dataDxfId="306" totalsRowDxfId="305"/>
    <tableColumn id="3" xr3:uid="{2977C050-245C-4759-B2F3-076F0B6DE18D}" name="Vendor Name" dataDxfId="304" totalsRowDxfId="303"/>
    <tableColumn id="4" xr3:uid="{BCD43F25-32CC-48CF-BDC4-B2E5BD3C01F1}" name="Total Amount" dataDxfId="302"/>
    <tableColumn id="23" xr3:uid="{18FDB6A8-330F-43B1-816C-555BC9A2E290}" name="Payment 01" dataDxfId="301"/>
    <tableColumn id="24" xr3:uid="{07F07577-5987-47B4-9154-013655DDB4C8}" name="Payment 02" dataDxfId="300"/>
    <tableColumn id="25" xr3:uid="{0B8D3CD3-233C-4F78-ADD8-EB5F9D376BA7}" name="Payment 03" dataDxfId="299"/>
    <tableColumn id="26" xr3:uid="{ABB2A062-EDBE-45F7-9A4D-6DBD02E4AB07}" name="Payment 04" dataDxfId="298"/>
    <tableColumn id="5" xr3:uid="{E587E422-71B2-4524-945D-B433BFECA613}" name="Total of Payments" totalsRowFunction="count" dataDxfId="297" dataCellStyle="Input"/>
    <tableColumn id="1" xr3:uid="{04ED18E2-0A12-4595-889E-2A9CF49C557D}" name="Answer Status Q01" dataDxfId="296" totalsRowDxfId="295">
      <calculatedColumnFormula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calculatedColumnFormula>
    </tableColumn>
    <tableColumn id="6" xr3:uid="{813AF4AB-7216-416C-8A12-2CC8FC2A7DEE}" name="Total of Payments ANS" dataDxfId="294" dataCellStyle="Highlight Difference">
      <calculatedColumnFormula>SUM(Tbl_A4_MathFunctions_01[[#This Row],[Payment 01]:[Payment 04]])</calculatedColumnFormula>
    </tableColumn>
    <tableColumn id="7" xr3:uid="{C21B2418-3CCB-4822-9179-C776EBA2DF10}" name="Average of Payments" dataDxfId="293" dataCellStyle="Input"/>
    <tableColumn id="8" xr3:uid="{35C4C182-1EEF-4B3D-A38C-D77643658701}" name="Answer Status Q02" dataDxfId="292" totalsRowDxfId="291">
      <calculatedColumnFormula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calculatedColumnFormula>
    </tableColumn>
    <tableColumn id="9" xr3:uid="{A11CB758-85C0-4E5E-8F4A-34267BC8D3FC}" name="Average of Payments ANS" dataDxfId="290" totalsRowDxfId="289" dataCellStyle="Highlight Difference">
      <calculatedColumnFormula>AVERAGE(Tbl_A4_MathFunctions_01[[#This Row],[Payment 01]:[Payment 04]])</calculatedColumnFormula>
    </tableColumn>
    <tableColumn id="10" xr3:uid="{7A260EA5-F903-4D77-9FC2-E9C9EB5BF311}" name="# of Payments" dataDxfId="288" totalsRowDxfId="287"/>
    <tableColumn id="11" xr3:uid="{484D05B1-3CCC-42AE-8CB9-A96EB4A158EE}" name="Answer Status Q03" dataDxfId="286" totalsRowDxfId="285">
      <calculatedColumnFormula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calculatedColumnFormula>
    </tableColumn>
    <tableColumn id="12" xr3:uid="{E9D70638-2CAC-4189-B2D9-8B52E017518D}" name="# of Payments ANS" dataDxfId="284" totalsRowDxfId="283">
      <calculatedColumnFormula>COUNT(Tbl_A4_MathFunctions_01[[#This Row],[Payment 01]:[Payment 04]])</calculatedColumnFormula>
    </tableColumn>
    <tableColumn id="13" xr3:uid="{EF326DD8-A19F-4E55-8386-57BA05FFCDEB}" name="# of Payments Completed or Pending" dataDxfId="282" totalsRowDxfId="281"/>
    <tableColumn id="14" xr3:uid="{7FA5D279-32B7-4444-9788-60A852EC1D41}" name="Answer Status Q04" dataDxfId="280" totalsRowDxfId="279">
      <calculatedColumnFormula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calculatedColumnFormula>
    </tableColumn>
    <tableColumn id="15" xr3:uid="{58322767-4FC7-445B-B748-B32F987CE705}" name="# of Payments Completed or Pending ANS" dataDxfId="278" totalsRowDxfId="277">
      <calculatedColumnFormula>COUNTA(Tbl_A4_MathFunctions_01[[#This Row],[Payment 01]:[Payment 04]])</calculatedColumnFormula>
    </tableColumn>
    <tableColumn id="20" xr3:uid="{D0CDDF27-BE86-4361-9728-E41804636921}" name="# of Skipped (Blank) Payments" dataDxfId="276" totalsRowDxfId="275"/>
    <tableColumn id="21" xr3:uid="{399DC56A-40B0-4672-B8A5-5B039C1C7072}" name="Answer Status Q05" dataDxfId="274" totalsRowDxfId="273">
      <calculatedColumnFormula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calculatedColumnFormula>
    </tableColumn>
    <tableColumn id="22" xr3:uid="{5E0A94E2-57DE-4254-86C6-8AC3E640994A}" name="# of Skipped (Blank) Payments ANS" dataDxfId="272" totalsRowDxfId="271">
      <calculatedColumnFormula>COUNTBLANK(Tbl_A4_MathFunctions_01[[#This Row],[Payment 01]:[Payment 04]])</calculatedColumnFormula>
    </tableColumn>
  </tableColumns>
  <tableStyleInfo name="Excel Minimal 06 Light Blu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30B06D-03C4-4156-8A11-8A48275B89DD}" name="Tbl_A5_MathReport_VendorSummary_01" displayName="Tbl_A5_MathReport_VendorSummary_01" ref="H9:Q17" headerRowDxfId="268" dataDxfId="266" headerRowBorderDxfId="267">
  <tableColumns count="10">
    <tableColumn id="3" xr3:uid="{BC0B38AC-2F60-4071-8ECD-7E18FD82379B}" name="Vendor Name" dataDxfId="265" totalsRowDxfId="264"/>
    <tableColumn id="5" xr3:uid="{A690B381-0A51-49C8-B25E-6291637BCCD0}" name="Payment Amount Total" totalsRowFunction="count" dataDxfId="263" dataCellStyle="Input"/>
    <tableColumn id="1" xr3:uid="{5E984C67-BB60-4C54-BF09-D75F76BF69AD}" name="Answer Status Q02" dataDxfId="262" totalsRowDxfId="261">
      <calculatedColumnFormula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calculatedColumnFormula>
    </tableColumn>
    <tableColumn id="6" xr3:uid="{7F8715DA-36E6-4818-8242-CF3F5C448610}" name="Payment Amount Total ANS" dataDxfId="260" dataCellStyle="Highlight Difference">
      <calculatedColumnFormula>SUMIFS(Tbl_A5_MathReport_ReportData_01[Payment Amount],Tbl_A5_MathReport_ReportData_01[Vendor Name],Tbl_A5_MathReport_VendorSummary_01[[#This Row],[Vendor Name]])</calculatedColumnFormula>
    </tableColumn>
    <tableColumn id="7" xr3:uid="{F5F9605E-843B-4F74-AA75-D1ABE52F0C9D}" name="Payment Amount Average" dataDxfId="259" dataCellStyle="Input"/>
    <tableColumn id="8" xr3:uid="{9CB2DA25-B702-468B-B2DC-21AF14A894CE}" name="Answer Status Q03" dataDxfId="258" totalsRowDxfId="257">
      <calculatedColumnFormula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calculatedColumnFormula>
    </tableColumn>
    <tableColumn id="9" xr3:uid="{3A90DDED-E8DE-472E-B739-31E590D0E1FC}" name="Payment Amount Average ANS" dataDxfId="256" totalsRowDxfId="255" dataCellStyle="Highlight Difference">
      <calculatedColumnFormula>AVERAGEIFS(Tbl_A5_MathReport_ReportData_01[Payment Amount],Tbl_A5_MathReport_ReportData_01[Vendor Name],Tbl_A5_MathReport_VendorSummary_01[[#This Row],[Vendor Name]])</calculatedColumnFormula>
    </tableColumn>
    <tableColumn id="10" xr3:uid="{EE621437-B410-41E5-8580-E6BFFF360F89}" name="Number of Payments" dataDxfId="254" totalsRowDxfId="253"/>
    <tableColumn id="11" xr3:uid="{D136EE07-8AA7-4367-A60C-DF6F97351CB4}" name="Answer Status Q04" dataDxfId="252" totalsRowDxfId="251">
      <calculatedColumnFormula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calculatedColumnFormula>
    </tableColumn>
    <tableColumn id="12" xr3:uid="{5B295074-48BA-421F-AF24-E6AD372FE325}" name="Number of Payments ANS" dataDxfId="250" totalsRowDxfId="249">
      <calculatedColumnFormula>COUNTIFS(Tbl_A5_MathReport_ReportData_01[Vendor Name],Tbl_A5_MathReport_VendorSummary_01[[#This Row],[Vendor Name]])</calculatedColumnFormula>
    </tableColumn>
  </tableColumns>
  <tableStyleInfo name="Excel Minimal 02 Blu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F61C57-4D69-44E1-AA63-72A877F7F85A}" name="Tbl_A5_MathReport_ReportData_01" displayName="Tbl_A5_MathReport_ReportData_01" ref="S9:U33" totalsRowShown="0" headerRowDxfId="248" dataDxfId="247">
  <tableColumns count="3">
    <tableColumn id="1" xr3:uid="{71EF635C-B21B-4456-A474-B0C2C3ADF593}" name="ID" dataDxfId="246"/>
    <tableColumn id="2" xr3:uid="{39F48230-1152-48FF-8E64-2C8F9742C2B8}" name="Vendor Name" dataDxfId="245"/>
    <tableColumn id="3" xr3:uid="{C675289B-EDF9-433D-804D-D29C03B6FD17}" name="Payment Amount" dataDxfId="244"/>
  </tableColumns>
  <tableStyleInfo name="Shir Style 01 Gray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94CBC1B-CFB7-4E3D-899F-D88ECDFA7CA0}" name="Tbl_A5_MathReport_DateTime_01" displayName="Tbl_A5_MathReport_DateTime_01" ref="B9:F13" totalsRowShown="0" headerRowBorderDxfId="243" tableBorderDxfId="242">
  <tableColumns count="5">
    <tableColumn id="1" xr3:uid="{F1E27700-7989-4120-8959-8993D3D8A425}" name="ID" dataDxfId="241"/>
    <tableColumn id="2" xr3:uid="{78FAC562-1E2A-4E15-ADDB-E63F904FD4E9}" name="Label" dataDxfId="240"/>
    <tableColumn id="3" xr3:uid="{C2CF6BBD-329D-409E-81CC-B2433E549ABA}" name="Formula or Value" dataCellStyle="Input"/>
    <tableColumn id="4" xr3:uid="{7FD5883F-FDDE-41BF-805B-80A9E9F06A5F}" name="Answer Status Q01" dataDxfId="239">
      <calculatedColumnFormula>IFERROR(IF(Tbl_A5_MathReport_DateTime_01[[#This Row],[Formula or Value]]="","",IF(AND(_xlfn.ISFORMULA(Tbl_A5_MathReport_DateTime_01[[#This Row],[Formula or Value]]),EXACT(Tbl_A5_MathReport_DateTime_01[[#This Row],[Formula or Value]],Tbl_A5_MathReport_DateTime_01[[#This Row],[Formula or Value ANS]])),Rng_Lkp_AnswerStatus_Good,Rng_Lkp_AnswerStatus_Bad)),Rng_Lkp_AnswerStatus_Bad)</calculatedColumnFormula>
    </tableColumn>
    <tableColumn id="5" xr3:uid="{BACA0E65-16BA-4622-AE26-AA2BF08A1502}" name="Formula or Value ANS" dataDxfId="238"/>
  </tableColumns>
  <tableStyleInfo name="Excel Minimal 02 Blu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70E6A88-503F-4A29-B8F7-7BA77F6912A9}" name="Tbl_BONUS_01_MathFunctions_01" displayName="Tbl_BONUS_01_MathFunctions_01" ref="B7:V31" headerRowDxfId="235" dataDxfId="233" headerRowBorderDxfId="234">
  <tableColumns count="21">
    <tableColumn id="2" xr3:uid="{A7610508-DC52-4C48-AA92-2A3872209504}" name="ID" totalsRowLabel="Total" dataDxfId="232" totalsRowDxfId="231"/>
    <tableColumn id="3" xr3:uid="{1581CC6F-C18F-4E36-8C40-293D1C804A1D}" name="Vendor Name" dataDxfId="230" totalsRowDxfId="229"/>
    <tableColumn id="4" xr3:uid="{139926F5-F1F3-43E5-BCF6-44184CBAF5FE}" name="Day Rate" dataDxfId="228"/>
    <tableColumn id="5" xr3:uid="{1862B684-20D6-4258-A66F-1EA28DAD3C7A}" name="Day Rate Rounded to Nearest Cent" totalsRowFunction="count" dataDxfId="227" dataCellStyle="Input"/>
    <tableColumn id="1" xr3:uid="{01151A02-074F-46C3-8262-B8BEBEF3DA6D}" name="Answer Status Q01" dataDxfId="226" totalsRowDxfId="225">
      <calculatedColumnFormula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calculatedColumnFormula>
    </tableColumn>
    <tableColumn id="6" xr3:uid="{B70A41B0-3414-4447-B59E-2EE5B8210470}" name="Day Rate Rounded to Nearest Cent ANS" dataDxfId="224" dataCellStyle="Highlight Difference">
      <calculatedColumnFormula>ROUND(Tbl_BONUS_01_MathFunctions_01[[#This Row],[Day Rate]],2)</calculatedColumnFormula>
    </tableColumn>
    <tableColumn id="7" xr3:uid="{C7AB8946-BB15-4485-8718-87EA287C709E}" name="Day Rate Rounded UP to Nearest Cent" dataDxfId="223" dataCellStyle="Input"/>
    <tableColumn id="8" xr3:uid="{9C1F49A5-D637-4C10-B517-28306FD6AD15}" name="Answer Status Q02" dataDxfId="222" totalsRowDxfId="221">
      <calculatedColumnFormula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calculatedColumnFormula>
    </tableColumn>
    <tableColumn id="9" xr3:uid="{95282ADA-2B9A-4899-976D-B87D91F1A44B}" name="Day Rate Rounded UP to Nearest Cent ANS" dataDxfId="220" totalsRowDxfId="219" dataCellStyle="Highlight Difference">
      <calculatedColumnFormula>ROUNDUP(Tbl_BONUS_01_MathFunctions_01[[#This Row],[Day Rate]],2)</calculatedColumnFormula>
    </tableColumn>
    <tableColumn id="10" xr3:uid="{B1047FBD-BF95-4836-B1AF-8E428C78BA0E}" name="Day Rate Rounded DOWN to Nearest Cent" dataDxfId="218" totalsRowDxfId="217"/>
    <tableColumn id="11" xr3:uid="{C6563A26-ECA6-4EE9-9C6E-6E3C18283558}" name="Answer Status Q03" dataDxfId="216" totalsRowDxfId="215">
      <calculatedColumnFormula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calculatedColumnFormula>
    </tableColumn>
    <tableColumn id="12" xr3:uid="{5D6CDEA0-E6D8-4D98-87BD-531E613F4B6A}" name="Day Rate Rounded DOWN to Nearest Cent ANS" dataDxfId="214" totalsRowDxfId="213" dataCellStyle="Highlight Difference">
      <calculatedColumnFormula>ROUNDDOWN(Tbl_BONUS_01_MathFunctions_01[[#This Row],[Day Rate]],2)</calculatedColumnFormula>
    </tableColumn>
    <tableColumn id="13" xr3:uid="{E20DEF9B-BEC9-4A70-ABC0-4CB2440FE2BB}" name="Day Rate Rounded to Nearest $5" dataDxfId="212" totalsRowDxfId="211"/>
    <tableColumn id="14" xr3:uid="{0E14579E-CC4A-4A83-AE33-0BE0FEEFFC72}" name="Answer Status Q04" dataDxfId="210" totalsRowDxfId="209">
      <calculatedColumnFormula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calculatedColumnFormula>
    </tableColumn>
    <tableColumn id="15" xr3:uid="{5E169782-7BFC-4E40-BF06-7DD5821B34B5}" name="Day Rate Rounded to Nearest $5 ANS" dataDxfId="208" totalsRowDxfId="207" dataCellStyle="Highlight Difference">
      <calculatedColumnFormula>MROUND(Tbl_BONUS_01_MathFunctions_01[[#This Row],[Day Rate]],5)</calculatedColumnFormula>
    </tableColumn>
    <tableColumn id="20" xr3:uid="{5378BD89-E395-4CA1-8E86-991E4CAD607B}" name="Day Rate Rounded UP to Nearest $5" dataDxfId="206" totalsRowDxfId="205"/>
    <tableColumn id="21" xr3:uid="{1AA7A87E-951F-4046-AE3B-6DA18E218567}" name="Answer Status Q05" dataDxfId="204" totalsRowDxfId="203">
      <calculatedColumnFormula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calculatedColumnFormula>
    </tableColumn>
    <tableColumn id="22" xr3:uid="{899A7701-6D4C-4068-8746-F54633BA7BBD}" name="Day Rate Rounded UP to Nearest $5 ANS" dataDxfId="202" totalsRowDxfId="201" dataCellStyle="Highlight Difference">
      <calculatedColumnFormula>CEILING(Tbl_BONUS_01_MathFunctions_01[[#This Row],[Day Rate]],5)</calculatedColumnFormula>
    </tableColumn>
    <tableColumn id="19" xr3:uid="{F9426BFE-2DD2-4E81-A49D-6C4E2884453B}" name="Day Rate Rounded DOWN to Nearest $5" dataDxfId="200" totalsRowDxfId="199"/>
    <tableColumn id="27" xr3:uid="{E00B9A96-BCD0-4FD2-B19C-825A717C9E83}" name="Answer Status Q06" dataDxfId="198" totalsRowDxfId="197">
      <calculatedColumnFormula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calculatedColumnFormula>
    </tableColumn>
    <tableColumn id="28" xr3:uid="{6D2C57F4-EB7A-4959-83C3-E5697AB07938}" name="Day Rate Rounded DOWN to Nearest $5 ANS" dataDxfId="196" totalsRowDxfId="195" dataCellStyle="Highlight Difference">
      <calculatedColumnFormula>FLOOR(Tbl_BONUS_01_MathFunctions_01[[#This Row],[Day Rate]],5)</calculatedColumnFormula>
    </tableColumn>
  </tableColumns>
  <tableStyleInfo name="Excel Minimal 06 Light Blu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F2DA4CF-7371-4117-BF6B-54CAE5506B46}" name="Tbl_BONUS_02_MathReport_VendorSummaryFilters_01" displayName="Tbl_BONUS_02_MathReport_VendorSummaryFilters_01" ref="N9:Q17" headerRowDxfId="182" dataDxfId="180" headerRowBorderDxfId="181">
  <tableColumns count="4">
    <tableColumn id="3" xr3:uid="{E97892EE-B389-46B3-9C68-06529837F2C9}" name="Vendor Name" dataDxfId="179" totalsRowDxfId="178"/>
    <tableColumn id="5" xr3:uid="{94A4BFC3-09BB-4DAA-B87F-32CEBD3B5DA0}" name="Payment Amount Total w/ Report Filters" totalsRowFunction="count" dataDxfId="177" dataCellStyle="Input"/>
    <tableColumn id="1" xr3:uid="{38A4A369-806B-487C-891E-201992C3734E}" name="Answer Status Q04" dataDxfId="176" totalsRowDxfId="175">
      <calculatedColumnFormula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calculatedColumnFormula>
    </tableColumn>
    <tableColumn id="6" xr3:uid="{1C4F08D8-E15F-41D9-A1D6-D3697768A001}" name="Payment Amount Total w/ Report Filters ANS" dataDxfId="174" dataCellStyle="Highlight Difference">
      <calculatedColumnFormula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calculatedColumnFormula>
    </tableColumn>
  </tableColumns>
  <tableStyleInfo name="Excel Minimal 02 Blu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BEC1F8-82CB-45DE-B008-AC4BCCD819BC}" name="Tbl_BONUS_02_MathReport_ReportData_01" displayName="Tbl_BONUS_02_MathReport_ReportData_01" ref="V9:AA33" totalsRowShown="0" headerRowDxfId="173" dataDxfId="172">
  <tableColumns count="6">
    <tableColumn id="1" xr3:uid="{B705F162-B343-47A5-A37B-A3871EC15CF9}" name="ID" dataDxfId="171"/>
    <tableColumn id="2" xr3:uid="{FE4DE452-510D-4EC9-B5E9-5BC1F9FAB9BE}" name="Vendor Name" dataDxfId="170"/>
    <tableColumn id="3" xr3:uid="{336EFFFC-A359-41C6-9837-057669CB7F66}" name="Payment Amount" dataDxfId="169"/>
    <tableColumn id="4" xr3:uid="{AA53EA85-8EA4-4FA3-9D9F-AF7D126D986B}" name="Billing Start Date" dataDxfId="168"/>
    <tableColumn id="5" xr3:uid="{33E91380-E12F-4F74-9351-D7F649F9DD6D}" name="Billing Start Date Year" dataDxfId="167">
      <calculatedColumnFormula>YEAR(Tbl_BONUS_02_MathReport_ReportData_01[[#This Row],[Billing Start Date]])</calculatedColumnFormula>
    </tableColumn>
    <tableColumn id="6" xr3:uid="{CEAB09BA-7F7D-4570-A278-5EFD97284999}" name="Billing Start Date Weekday" dataDxfId="166">
      <calculatedColumnFormula>TEXT(Tbl_BONUS_02_MathReport_ReportData_01[[#This Row],[Billing Start Date]],"dddd")</calculatedColumnFormula>
    </tableColumn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8D76-5D52-40A4-B578-E6F2E38F7537}">
  <sheetPr>
    <tabColor rgb="FFD6F6F5"/>
  </sheetPr>
  <dimension ref="B1:M18"/>
  <sheetViews>
    <sheetView showGridLines="0" tabSelected="1" zoomScaleNormal="100" workbookViewId="0"/>
  </sheetViews>
  <sheetFormatPr defaultColWidth="9.140625" defaultRowHeight="15" x14ac:dyDescent="0.25"/>
  <cols>
    <col min="1" max="1" width="2.5703125" style="1" customWidth="1"/>
    <col min="2" max="2" width="9.140625" style="1" customWidth="1"/>
    <col min="3" max="3" width="9.140625" style="1"/>
    <col min="4" max="4" width="9.140625" style="1" customWidth="1"/>
    <col min="5" max="16384" width="9.140625" style="1"/>
  </cols>
  <sheetData>
    <row r="1" spans="2:13" ht="6.95" customHeight="1" x14ac:dyDescent="0.25"/>
    <row r="5" spans="2:13" ht="6.95" customHeight="1" x14ac:dyDescent="0.25"/>
    <row r="6" spans="2:13" ht="46.5" x14ac:dyDescent="0.7">
      <c r="B6" s="2" t="s">
        <v>90</v>
      </c>
    </row>
    <row r="7" spans="2:13" ht="26.25" x14ac:dyDescent="0.4">
      <c r="B7" s="71" t="s">
        <v>91</v>
      </c>
    </row>
    <row r="8" spans="2:13" ht="6.95" customHeight="1" x14ac:dyDescent="0.25"/>
    <row r="9" spans="2:13" ht="21" x14ac:dyDescent="0.35">
      <c r="B9" s="5" t="s">
        <v>92</v>
      </c>
    </row>
    <row r="10" spans="2:13" ht="6.95" customHeight="1" x14ac:dyDescent="0.25"/>
    <row r="11" spans="2:13" ht="17.25" x14ac:dyDescent="0.3">
      <c r="B11" s="4" t="s">
        <v>93</v>
      </c>
      <c r="D11" s="4"/>
      <c r="F11" s="4"/>
      <c r="I11" s="4"/>
      <c r="M11" s="4"/>
    </row>
    <row r="12" spans="2:13" ht="17.25" x14ac:dyDescent="0.3">
      <c r="B12" s="4" t="s">
        <v>94</v>
      </c>
      <c r="D12" s="4"/>
      <c r="F12" s="4" t="s">
        <v>101</v>
      </c>
      <c r="I12" s="4"/>
      <c r="M12" s="4"/>
    </row>
    <row r="13" spans="2:13" ht="17.25" x14ac:dyDescent="0.3">
      <c r="B13" s="4" t="s">
        <v>95</v>
      </c>
      <c r="D13" s="4"/>
      <c r="F13" s="4" t="s">
        <v>102</v>
      </c>
      <c r="I13" s="4"/>
    </row>
    <row r="14" spans="2:13" ht="17.25" x14ac:dyDescent="0.3">
      <c r="B14" s="4" t="s">
        <v>96</v>
      </c>
      <c r="D14" s="4"/>
      <c r="F14" s="4"/>
      <c r="I14" s="4"/>
    </row>
    <row r="15" spans="2:13" ht="17.25" x14ac:dyDescent="0.3">
      <c r="B15" s="4" t="s">
        <v>97</v>
      </c>
    </row>
    <row r="16" spans="2:13" ht="17.25" x14ac:dyDescent="0.3">
      <c r="B16" s="4" t="s">
        <v>98</v>
      </c>
    </row>
    <row r="17" spans="2:2" ht="17.25" x14ac:dyDescent="0.3">
      <c r="B17" s="4" t="s">
        <v>99</v>
      </c>
    </row>
    <row r="18" spans="2:2" ht="17.25" x14ac:dyDescent="0.3">
      <c r="B18" s="4" t="s">
        <v>100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9EDA-E871-4086-80BF-599F77125461}">
  <sheetPr>
    <tabColor theme="6"/>
  </sheetPr>
  <dimension ref="A1:W3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21.85546875" style="8" bestFit="1" customWidth="1"/>
    <col min="4" max="4" width="12.140625" style="8" bestFit="1" customWidth="1"/>
    <col min="5" max="5" width="8.140625" style="8" bestFit="1" customWidth="1"/>
    <col min="6" max="6" width="12.140625" style="8" hidden="1" customWidth="1" outlineLevel="1"/>
    <col min="7" max="7" width="27.140625" style="8" customWidth="1" collapsed="1"/>
    <col min="8" max="8" width="21.85546875" style="8" bestFit="1" customWidth="1"/>
    <col min="9" max="9" width="8.140625" style="8" bestFit="1" customWidth="1"/>
    <col min="10" max="10" width="22.7109375" style="8" hidden="1" customWidth="1" outlineLevel="1"/>
    <col min="11" max="11" width="18.28515625" style="8" bestFit="1" customWidth="1" collapsed="1"/>
    <col min="12" max="12" width="8.140625" style="8" bestFit="1" customWidth="1"/>
    <col min="13" max="13" width="20.7109375" style="8" hidden="1" customWidth="1" outlineLevel="1"/>
    <col min="14" max="14" width="10.85546875" style="8" bestFit="1" customWidth="1" collapsed="1"/>
    <col min="15" max="15" width="8.140625" style="8" bestFit="1" customWidth="1"/>
    <col min="16" max="16" width="13.42578125" style="8" hidden="1" customWidth="1" outlineLevel="1"/>
    <col min="17" max="17" width="10.85546875" style="8" bestFit="1" customWidth="1" collapsed="1"/>
    <col min="18" max="18" width="8.140625" style="8" bestFit="1" customWidth="1"/>
    <col min="19" max="19" width="13.42578125" style="8" hidden="1" customWidth="1" outlineLevel="1"/>
    <col min="20" max="20" width="12.5703125" style="8" bestFit="1" customWidth="1" collapsed="1"/>
    <col min="21" max="21" width="8.140625" style="8" bestFit="1" customWidth="1"/>
    <col min="22" max="22" width="13.42578125" style="8" hidden="1" customWidth="1" outlineLevel="1"/>
    <col min="23" max="23" width="9.140625" style="8" collapsed="1"/>
    <col min="24" max="16384" width="9.140625" style="8"/>
  </cols>
  <sheetData>
    <row r="1" spans="1:22" s="6" customFormat="1" ht="21" x14ac:dyDescent="0.35">
      <c r="A1" s="35"/>
      <c r="B1" s="3"/>
      <c r="D1" s="40" t="s">
        <v>101</v>
      </c>
    </row>
    <row r="2" spans="1:22" s="6" customFormat="1" ht="18.75" x14ac:dyDescent="0.3">
      <c r="A2" s="36"/>
      <c r="B2" s="7"/>
      <c r="D2" s="41" t="s">
        <v>24</v>
      </c>
    </row>
    <row r="3" spans="1:22" ht="6.95" customHeight="1" x14ac:dyDescent="0.25"/>
    <row r="4" spans="1:22" x14ac:dyDescent="0.25">
      <c r="C4" s="103" t="s">
        <v>22</v>
      </c>
      <c r="D4" s="21">
        <v>1</v>
      </c>
      <c r="E4" s="12"/>
      <c r="F4" s="12"/>
      <c r="G4" s="12"/>
      <c r="H4" s="21">
        <v>2</v>
      </c>
      <c r="I4" s="12"/>
      <c r="J4" s="12"/>
      <c r="K4" s="21">
        <v>3</v>
      </c>
      <c r="L4" s="12"/>
      <c r="M4" s="12"/>
      <c r="N4" s="21">
        <v>4</v>
      </c>
      <c r="O4" s="12"/>
      <c r="P4" s="12"/>
      <c r="Q4" s="21">
        <v>5</v>
      </c>
      <c r="R4" s="12"/>
      <c r="S4" s="12"/>
      <c r="T4" s="21">
        <v>6</v>
      </c>
      <c r="U4" s="12"/>
      <c r="V4" s="12"/>
    </row>
    <row r="5" spans="1:22" hidden="1" outlineLevel="1" x14ac:dyDescent="0.25">
      <c r="B5" s="25" t="str">
        <f>IFERROR(IF(SUMIFS(D5:V5,D4:V4,"&gt;=0")=0,"",SUMIFS(D5:V5,D4:V4,"&gt;=0")/SUMIFS(D5:V5,D6:V6,"ANSWER")),"")</f>
        <v/>
      </c>
      <c r="C5" s="22" t="s">
        <v>8</v>
      </c>
      <c r="D5" s="23">
        <f>IFERROR(COUNTA(Tbl_B6_TextFunctions_01[Character Count of PO Code]),"")</f>
        <v>0</v>
      </c>
      <c r="E5" s="24">
        <f>IFERROR(COUNTIF(Tbl_B6_TextFunctions_01[Answer Status Q01],Rng_Lkp_AnswerStatus_Good),"")</f>
        <v>0</v>
      </c>
      <c r="F5" s="24">
        <f>IFERROR(COUNTA(Tbl_B6_TextFunctions_01[Character Count of PO Code ANS]),"")</f>
        <v>24</v>
      </c>
      <c r="G5" s="24"/>
      <c r="H5" s="23">
        <f>IFERROR(COUNTA(Tbl_B6_TextFunctions_01[PO Code Extra Spaces Trimmed]),"")</f>
        <v>0</v>
      </c>
      <c r="I5" s="24">
        <f>IFERROR(COUNTIF(Tbl_B6_TextFunctions_01[Answer Status Q02],Rng_Lkp_AnswerStatus_Good),"")</f>
        <v>0</v>
      </c>
      <c r="J5" s="24">
        <f>IFERROR(COUNTA(Tbl_B6_TextFunctions_01[PO Code Extra Spaces Trimmed ANS]),"")</f>
        <v>24</v>
      </c>
      <c r="K5" s="23">
        <f>IFERROR(COUNTA(Tbl_B6_TextFunctions_01[Is PO Code Exactly the Same as Trimmed PO Code?]),"")</f>
        <v>0</v>
      </c>
      <c r="L5" s="24">
        <f>IFERROR(COUNTIF(Tbl_B6_TextFunctions_01[Answer Status Q03],Rng_Lkp_AnswerStatus_Good),"")</f>
        <v>0</v>
      </c>
      <c r="M5" s="24">
        <f>IFERROR(COUNTA(Tbl_B6_TextFunctions_01[Is PO Code Exactly the Same as Trimmed PO Code? ANS]),"")</f>
        <v>24</v>
      </c>
      <c r="N5" s="23">
        <f>IFERROR(COUNTA(Tbl_B6_TextFunctions_01[First 2 Characters of PO Code]),"")</f>
        <v>0</v>
      </c>
      <c r="O5" s="24">
        <f>IFERROR(COUNTIF(Tbl_B6_TextFunctions_01[Answer Status Q04],Rng_Lkp_AnswerStatus_Good),"")</f>
        <v>0</v>
      </c>
      <c r="P5" s="24">
        <f>IFERROR(COUNTA(Tbl_B6_TextFunctions_01[First 2 Characters of PO Code ANS]),"")</f>
        <v>24</v>
      </c>
      <c r="Q5" s="23">
        <f>IFERROR(COUNTA(Tbl_B6_TextFunctions_01[Last 4 Characters of PO Code]),"")</f>
        <v>0</v>
      </c>
      <c r="R5" s="24">
        <f>IFERROR(COUNTIF(Tbl_B6_TextFunctions_01[Answer Status Q05],Rng_Lkp_AnswerStatus_Good),"")</f>
        <v>0</v>
      </c>
      <c r="S5" s="24">
        <f>IFERROR(COUNTA(Tbl_B6_TextFunctions_01[Last 4 Characters of PO Code ANS]),"")</f>
        <v>24</v>
      </c>
      <c r="T5" s="23">
        <f>IFERROR(COUNTA(Tbl_B6_TextFunctions_01[4th &amp; 5th Characters of PO Code]),"")</f>
        <v>0</v>
      </c>
      <c r="U5" s="24">
        <f>IFERROR(COUNTIF(Tbl_B6_TextFunctions_01[Answer Status Q06],Rng_Lkp_AnswerStatus_Good),"")</f>
        <v>0</v>
      </c>
      <c r="V5" s="24">
        <f>IFERROR(COUNTA(Tbl_B6_TextFunctions_01[4th &amp; 5th Characters of PO Code ANS]),"")</f>
        <v>24</v>
      </c>
    </row>
    <row r="6" spans="1:22" collapsed="1" x14ac:dyDescent="0.25">
      <c r="B6" s="25" t="str">
        <f>IFERROR(IF(SUMIFS(D5:V5,D4:V4,"&gt;=0")=0,"",SUMIFS(D5:V5,D6:V6,"&gt;=0", D6:V6,"&lt;=1")/SUMIFS(D5:V5,D4:V4,"&gt;0")),"")</f>
        <v/>
      </c>
      <c r="C6" s="22" t="s">
        <v>9</v>
      </c>
      <c r="D6" s="118" t="s">
        <v>213</v>
      </c>
      <c r="E6" s="20" t="str">
        <f>IFERROR(E5/D5,"")</f>
        <v/>
      </c>
      <c r="F6" s="119" t="s">
        <v>0</v>
      </c>
      <c r="G6" s="126"/>
      <c r="H6" s="21" t="s">
        <v>214</v>
      </c>
      <c r="I6" s="20" t="str">
        <f>IFERROR(I5/H5,"")</f>
        <v/>
      </c>
      <c r="J6" s="119" t="s">
        <v>0</v>
      </c>
      <c r="K6" s="21" t="s">
        <v>215</v>
      </c>
      <c r="L6" s="20" t="str">
        <f>IFERROR(L5/K5,"")</f>
        <v/>
      </c>
      <c r="M6" s="119" t="s">
        <v>0</v>
      </c>
      <c r="N6" s="118" t="s">
        <v>216</v>
      </c>
      <c r="O6" s="20" t="str">
        <f>IFERROR(O5/N5,"")</f>
        <v/>
      </c>
      <c r="P6" s="119" t="s">
        <v>0</v>
      </c>
      <c r="Q6" s="21" t="s">
        <v>217</v>
      </c>
      <c r="R6" s="20" t="str">
        <f>IFERROR(R5/Q5,"")</f>
        <v/>
      </c>
      <c r="S6" s="119" t="s">
        <v>0</v>
      </c>
      <c r="T6" s="21" t="s">
        <v>218</v>
      </c>
      <c r="U6" s="20" t="str">
        <f>IFERROR(U5/T5,"")</f>
        <v/>
      </c>
      <c r="V6" s="119" t="s">
        <v>0</v>
      </c>
    </row>
    <row r="7" spans="1:22" ht="45" x14ac:dyDescent="0.25">
      <c r="B7" s="15" t="s">
        <v>20</v>
      </c>
      <c r="C7" s="124" t="s">
        <v>175</v>
      </c>
      <c r="D7" s="127" t="s">
        <v>201</v>
      </c>
      <c r="E7" s="18" t="s">
        <v>4</v>
      </c>
      <c r="F7" s="116" t="s">
        <v>202</v>
      </c>
      <c r="G7" s="128" t="s">
        <v>176</v>
      </c>
      <c r="H7" s="127" t="s">
        <v>203</v>
      </c>
      <c r="I7" s="18" t="s">
        <v>5</v>
      </c>
      <c r="J7" s="116" t="s">
        <v>204</v>
      </c>
      <c r="K7" s="127" t="s">
        <v>205</v>
      </c>
      <c r="L7" s="18" t="s">
        <v>6</v>
      </c>
      <c r="M7" s="116" t="s">
        <v>206</v>
      </c>
      <c r="N7" s="127" t="s">
        <v>207</v>
      </c>
      <c r="O7" s="18" t="s">
        <v>7</v>
      </c>
      <c r="P7" s="116" t="s">
        <v>208</v>
      </c>
      <c r="Q7" s="129" t="s">
        <v>209</v>
      </c>
      <c r="R7" s="27" t="s">
        <v>11</v>
      </c>
      <c r="S7" s="130" t="s">
        <v>210</v>
      </c>
      <c r="T7" s="129" t="s">
        <v>211</v>
      </c>
      <c r="U7" s="27" t="s">
        <v>12</v>
      </c>
      <c r="V7" s="130" t="s">
        <v>212</v>
      </c>
    </row>
    <row r="8" spans="1:22" x14ac:dyDescent="0.25">
      <c r="B8" s="9">
        <v>1</v>
      </c>
      <c r="C8" s="125" t="s">
        <v>177</v>
      </c>
      <c r="D8" s="147"/>
      <c r="E8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8" s="145">
        <f>LEN(Tbl_B6_TextFunctions_01[[#This Row],[PO Code]])</f>
        <v>15</v>
      </c>
      <c r="G8" s="131" t="s">
        <v>219</v>
      </c>
      <c r="H8" s="132"/>
      <c r="I8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8" s="133" t="str">
        <f>TRIM(Tbl_B6_TextFunctions_01[[#This Row],[PO Code Extra Spaces]])</f>
        <v>AC.LV.PASL.MCCL</v>
      </c>
      <c r="K8" s="134"/>
      <c r="L8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8" s="135" t="b">
        <f>EXACT(Tbl_B6_TextFunctions_01[[#This Row],[PO Code]],Tbl_B6_TextFunctions_01[[#This Row],[PO Code Extra Spaces Trimmed]])</f>
        <v>0</v>
      </c>
      <c r="N8" s="134"/>
      <c r="O8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8" s="136" t="str">
        <f>LEFT(Tbl_B6_TextFunctions_01[[#This Row],[PO Code]],2)</f>
        <v>AC</v>
      </c>
      <c r="Q8" s="134"/>
      <c r="R8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8" s="136" t="str">
        <f>RIGHT(Tbl_B6_TextFunctions_01[[#This Row],[PO Code]],4)</f>
        <v>MCCL</v>
      </c>
      <c r="T8" s="137"/>
      <c r="U8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8" s="133" t="str">
        <f>MID(Tbl_B6_TextFunctions_01[[#This Row],[PO Code]],4,2)</f>
        <v>LV</v>
      </c>
    </row>
    <row r="9" spans="1:22" x14ac:dyDescent="0.25">
      <c r="B9" s="9">
        <v>2</v>
      </c>
      <c r="C9" s="125" t="s">
        <v>178</v>
      </c>
      <c r="D9" s="134"/>
      <c r="E9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9" s="145">
        <f>LEN(Tbl_B6_TextFunctions_01[[#This Row],[PO Code]])</f>
        <v>18</v>
      </c>
      <c r="G9" s="131" t="s">
        <v>220</v>
      </c>
      <c r="H9" s="137"/>
      <c r="I9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9" s="133" t="str">
        <f>TRIM(Tbl_B6_TextFunctions_01[[#This Row],[PO Code Extra Spaces]])</f>
        <v>HB.CH.CMOS.QULA.ME</v>
      </c>
      <c r="K9" s="134"/>
      <c r="L9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9" s="135" t="b">
        <f>EXACT(Tbl_B6_TextFunctions_01[[#This Row],[PO Code]],Tbl_B6_TextFunctions_01[[#This Row],[PO Code Extra Spaces Trimmed]])</f>
        <v>0</v>
      </c>
      <c r="N9" s="134"/>
      <c r="O9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9" s="136" t="str">
        <f>LEFT(Tbl_B6_TextFunctions_01[[#This Row],[PO Code]],2)</f>
        <v>HB</v>
      </c>
      <c r="Q9" s="134"/>
      <c r="R9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9" s="136" t="str">
        <f>RIGHT(Tbl_B6_TextFunctions_01[[#This Row],[PO Code]],4)</f>
        <v>A.ME</v>
      </c>
      <c r="T9" s="137"/>
      <c r="U9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9" s="133" t="str">
        <f>MID(Tbl_B6_TextFunctions_01[[#This Row],[PO Code]],4,2)</f>
        <v>CH</v>
      </c>
    </row>
    <row r="10" spans="1:22" x14ac:dyDescent="0.25">
      <c r="B10" s="9">
        <v>3</v>
      </c>
      <c r="C10" s="125" t="s">
        <v>179</v>
      </c>
      <c r="D10" s="134"/>
      <c r="E10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0" s="145">
        <f>LEN(Tbl_B6_TextFunctions_01[[#This Row],[PO Code]])</f>
        <v>12</v>
      </c>
      <c r="G10" s="131" t="s">
        <v>221</v>
      </c>
      <c r="H10" s="137"/>
      <c r="I10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0" s="133" t="str">
        <f>TRIM(Tbl_B6_TextFunctions_01[[#This Row],[PO Code Extra Spaces]])</f>
        <v>AC.LV.SIW.DR</v>
      </c>
      <c r="K10" s="134"/>
      <c r="L10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0" s="135" t="b">
        <f>EXACT(Tbl_B6_TextFunctions_01[[#This Row],[PO Code]],Tbl_B6_TextFunctions_01[[#This Row],[PO Code Extra Spaces Trimmed]])</f>
        <v>0</v>
      </c>
      <c r="N10" s="134"/>
      <c r="O10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0" s="136" t="str">
        <f>LEFT(Tbl_B6_TextFunctions_01[[#This Row],[PO Code]],2)</f>
        <v>AC</v>
      </c>
      <c r="Q10" s="134"/>
      <c r="R10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0" s="136" t="str">
        <f>RIGHT(Tbl_B6_TextFunctions_01[[#This Row],[PO Code]],4)</f>
        <v>W.DR</v>
      </c>
      <c r="T10" s="137"/>
      <c r="U10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0" s="133" t="str">
        <f>MID(Tbl_B6_TextFunctions_01[[#This Row],[PO Code]],4,2)</f>
        <v>LV</v>
      </c>
    </row>
    <row r="11" spans="1:22" x14ac:dyDescent="0.25">
      <c r="B11" s="9">
        <v>4</v>
      </c>
      <c r="C11" s="125" t="s">
        <v>180</v>
      </c>
      <c r="D11" s="134"/>
      <c r="E11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1" s="145">
        <f>LEN(Tbl_B6_TextFunctions_01[[#This Row],[PO Code]])</f>
        <v>14</v>
      </c>
      <c r="G11" s="131" t="s">
        <v>222</v>
      </c>
      <c r="H11" s="137"/>
      <c r="I11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1" s="133" t="str">
        <f>TRIM(Tbl_B6_TextFunctions_01[[#This Row],[PO Code Extra Spaces]])</f>
        <v>AC.LV.SAW.LEMC</v>
      </c>
      <c r="K11" s="134"/>
      <c r="L11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1" s="135" t="b">
        <f>EXACT(Tbl_B6_TextFunctions_01[[#This Row],[PO Code]],Tbl_B6_TextFunctions_01[[#This Row],[PO Code Extra Spaces Trimmed]])</f>
        <v>0</v>
      </c>
      <c r="N11" s="134"/>
      <c r="O11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1" s="136" t="str">
        <f>LEFT(Tbl_B6_TextFunctions_01[[#This Row],[PO Code]],2)</f>
        <v>AC</v>
      </c>
      <c r="Q11" s="134"/>
      <c r="R11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1" s="136" t="str">
        <f>RIGHT(Tbl_B6_TextFunctions_01[[#This Row],[PO Code]],4)</f>
        <v>LEMC</v>
      </c>
      <c r="T11" s="137"/>
      <c r="U11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1" s="133" t="str">
        <f>MID(Tbl_B6_TextFunctions_01[[#This Row],[PO Code]],4,2)</f>
        <v>LV</v>
      </c>
    </row>
    <row r="12" spans="1:22" x14ac:dyDescent="0.25">
      <c r="B12" s="9">
        <v>5</v>
      </c>
      <c r="C12" s="125" t="s">
        <v>181</v>
      </c>
      <c r="D12" s="134"/>
      <c r="E12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2" s="145">
        <f>LEN(Tbl_B6_TextFunctions_01[[#This Row],[PO Code]])</f>
        <v>13</v>
      </c>
      <c r="G12" s="131" t="s">
        <v>223</v>
      </c>
      <c r="H12" s="137"/>
      <c r="I12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2" s="133" t="str">
        <f>TRIM(Tbl_B6_TextFunctions_01[[#This Row],[PO Code Extra Spaces]])</f>
        <v>HB.GV.DUET.LE</v>
      </c>
      <c r="K12" s="134"/>
      <c r="L12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2" s="135" t="b">
        <f>EXACT(Tbl_B6_TextFunctions_01[[#This Row],[PO Code]],Tbl_B6_TextFunctions_01[[#This Row],[PO Code Extra Spaces Trimmed]])</f>
        <v>0</v>
      </c>
      <c r="N12" s="134"/>
      <c r="O12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2" s="136" t="str">
        <f>LEFT(Tbl_B6_TextFunctions_01[[#This Row],[PO Code]],2)</f>
        <v>HB</v>
      </c>
      <c r="Q12" s="134"/>
      <c r="R12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2" s="136" t="str">
        <f>RIGHT(Tbl_B6_TextFunctions_01[[#This Row],[PO Code]],4)</f>
        <v>T.LE</v>
      </c>
      <c r="T12" s="137"/>
      <c r="U12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2" s="133" t="str">
        <f>MID(Tbl_B6_TextFunctions_01[[#This Row],[PO Code]],4,2)</f>
        <v>GV</v>
      </c>
    </row>
    <row r="13" spans="1:22" x14ac:dyDescent="0.25">
      <c r="B13" s="9">
        <v>6</v>
      </c>
      <c r="C13" s="125" t="s">
        <v>182</v>
      </c>
      <c r="D13" s="134"/>
      <c r="E13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3" s="145">
        <f>LEN(Tbl_B6_TextFunctions_01[[#This Row],[PO Code]])</f>
        <v>17</v>
      </c>
      <c r="G13" s="131" t="s">
        <v>224</v>
      </c>
      <c r="H13" s="137"/>
      <c r="I13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3" s="133" t="str">
        <f>TRIM(Tbl_B6_TextFunctions_01[[#This Row],[PO Code Extra Spaces]])</f>
        <v>HB.SL.CMCW.MCL.SM</v>
      </c>
      <c r="K13" s="134"/>
      <c r="L13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3" s="135" t="b">
        <f>EXACT(Tbl_B6_TextFunctions_01[[#This Row],[PO Code]],Tbl_B6_TextFunctions_01[[#This Row],[PO Code Extra Spaces Trimmed]])</f>
        <v>0</v>
      </c>
      <c r="N13" s="134"/>
      <c r="O13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3" s="136" t="str">
        <f>LEFT(Tbl_B6_TextFunctions_01[[#This Row],[PO Code]],2)</f>
        <v>HB</v>
      </c>
      <c r="Q13" s="134"/>
      <c r="R13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3" s="136" t="str">
        <f>RIGHT(Tbl_B6_TextFunctions_01[[#This Row],[PO Code]],4)</f>
        <v>L.SM</v>
      </c>
      <c r="T13" s="137"/>
      <c r="U13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3" s="133" t="str">
        <f>MID(Tbl_B6_TextFunctions_01[[#This Row],[PO Code]],4,2)</f>
        <v>SL</v>
      </c>
    </row>
    <row r="14" spans="1:22" x14ac:dyDescent="0.25">
      <c r="B14" s="9">
        <v>7</v>
      </c>
      <c r="C14" s="125" t="s">
        <v>183</v>
      </c>
      <c r="D14" s="134"/>
      <c r="E14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4" s="145">
        <f>LEN(Tbl_B6_TextFunctions_01[[#This Row],[PO Code]])</f>
        <v>18</v>
      </c>
      <c r="G14" s="131" t="s">
        <v>225</v>
      </c>
      <c r="H14" s="137"/>
      <c r="I14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4" s="133" t="str">
        <f>TRIM(Tbl_B6_TextFunctions_01[[#This Row],[PO Code Extra Spaces]])</f>
        <v>HB.CH.DSHFT.QLC.LG</v>
      </c>
      <c r="K14" s="134"/>
      <c r="L14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4" s="135" t="b">
        <f>EXACT(Tbl_B6_TextFunctions_01[[#This Row],[PO Code]],Tbl_B6_TextFunctions_01[[#This Row],[PO Code Extra Spaces Trimmed]])</f>
        <v>0</v>
      </c>
      <c r="N14" s="134"/>
      <c r="O14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4" s="136" t="str">
        <f>LEFT(Tbl_B6_TextFunctions_01[[#This Row],[PO Code]],2)</f>
        <v>HB</v>
      </c>
      <c r="Q14" s="134"/>
      <c r="R14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4" s="136" t="str">
        <f>RIGHT(Tbl_B6_TextFunctions_01[[#This Row],[PO Code]],4)</f>
        <v>C.LG</v>
      </c>
      <c r="T14" s="137"/>
      <c r="U14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4" s="133" t="str">
        <f>MID(Tbl_B6_TextFunctions_01[[#This Row],[PO Code]],4,2)</f>
        <v>CH</v>
      </c>
    </row>
    <row r="15" spans="1:22" x14ac:dyDescent="0.25">
      <c r="B15" s="9">
        <v>8</v>
      </c>
      <c r="C15" s="125" t="s">
        <v>184</v>
      </c>
      <c r="D15" s="134"/>
      <c r="E15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5" s="145">
        <f>LEN(Tbl_B6_TextFunctions_01[[#This Row],[PO Code]])</f>
        <v>16</v>
      </c>
      <c r="G15" s="131" t="s">
        <v>226</v>
      </c>
      <c r="H15" s="137"/>
      <c r="I15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5" s="133" t="str">
        <f>TRIM(Tbl_B6_TextFunctions_01[[#This Row],[PO Code Extra Spaces]])</f>
        <v>HB.GY.SL.COAC.GM</v>
      </c>
      <c r="K15" s="134"/>
      <c r="L15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5" s="135" t="b">
        <f>EXACT(Tbl_B6_TextFunctions_01[[#This Row],[PO Code]],Tbl_B6_TextFunctions_01[[#This Row],[PO Code Extra Spaces Trimmed]])</f>
        <v>0</v>
      </c>
      <c r="N15" s="134"/>
      <c r="O15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5" s="136" t="str">
        <f>LEFT(Tbl_B6_TextFunctions_01[[#This Row],[PO Code]],2)</f>
        <v>HB</v>
      </c>
      <c r="Q15" s="134"/>
      <c r="R15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5" s="136" t="str">
        <f>RIGHT(Tbl_B6_TextFunctions_01[[#This Row],[PO Code]],4)</f>
        <v>C.GM</v>
      </c>
      <c r="T15" s="137"/>
      <c r="U15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5" s="133" t="str">
        <f>MID(Tbl_B6_TextFunctions_01[[#This Row],[PO Code]],4,2)</f>
        <v>GY</v>
      </c>
    </row>
    <row r="16" spans="1:22" x14ac:dyDescent="0.25">
      <c r="B16" s="9">
        <v>9</v>
      </c>
      <c r="C16" s="125" t="s">
        <v>185</v>
      </c>
      <c r="D16" s="134"/>
      <c r="E16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6" s="145">
        <f>LEN(Tbl_B6_TextFunctions_01[[#This Row],[PO Code]])</f>
        <v>17</v>
      </c>
      <c r="G16" s="131" t="s">
        <v>227</v>
      </c>
      <c r="H16" s="137"/>
      <c r="I16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6" s="133" t="str">
        <f>TRIM(Tbl_B6_TextFunctions_01[[#This Row],[PO Code Extra Spaces]])</f>
        <v>HB.MM.LMCB.MAD.SM</v>
      </c>
      <c r="K16" s="134"/>
      <c r="L16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6" s="135" t="b">
        <f>EXACT(Tbl_B6_TextFunctions_01[[#This Row],[PO Code]],Tbl_B6_TextFunctions_01[[#This Row],[PO Code Extra Spaces Trimmed]])</f>
        <v>0</v>
      </c>
      <c r="N16" s="134"/>
      <c r="O16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6" s="136" t="str">
        <f>LEFT(Tbl_B6_TextFunctions_01[[#This Row],[PO Code]],2)</f>
        <v>HB</v>
      </c>
      <c r="Q16" s="134"/>
      <c r="R16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6" s="136" t="str">
        <f>RIGHT(Tbl_B6_TextFunctions_01[[#This Row],[PO Code]],4)</f>
        <v>D.SM</v>
      </c>
      <c r="T16" s="137"/>
      <c r="U16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6" s="133" t="str">
        <f>MID(Tbl_B6_TextFunctions_01[[#This Row],[PO Code]],4,2)</f>
        <v>MM</v>
      </c>
    </row>
    <row r="17" spans="2:22" x14ac:dyDescent="0.25">
      <c r="B17" s="9">
        <v>10</v>
      </c>
      <c r="C17" s="125" t="s">
        <v>186</v>
      </c>
      <c r="D17" s="141"/>
      <c r="E17" s="19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7" s="146">
        <f>LEN(Tbl_B6_TextFunctions_01[[#This Row],[PO Code]])</f>
        <v>19</v>
      </c>
      <c r="G17" s="139" t="s">
        <v>228</v>
      </c>
      <c r="H17" s="138"/>
      <c r="I17" s="19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7" s="140" t="str">
        <f>TRIM(Tbl_B6_TextFunctions_01[[#This Row],[PO Code Extra Spaces]])</f>
        <v>HB.SL.CLMCB.CREL.SM</v>
      </c>
      <c r="K17" s="141"/>
      <c r="L17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7" s="142" t="b">
        <f>EXACT(Tbl_B6_TextFunctions_01[[#This Row],[PO Code]],Tbl_B6_TextFunctions_01[[#This Row],[PO Code Extra Spaces Trimmed]])</f>
        <v>0</v>
      </c>
      <c r="N17" s="141"/>
      <c r="O17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7" s="143" t="str">
        <f>LEFT(Tbl_B6_TextFunctions_01[[#This Row],[PO Code]],2)</f>
        <v>HB</v>
      </c>
      <c r="Q17" s="141"/>
      <c r="R17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7" s="143" t="str">
        <f>RIGHT(Tbl_B6_TextFunctions_01[[#This Row],[PO Code]],4)</f>
        <v>L.SM</v>
      </c>
      <c r="T17" s="138"/>
      <c r="U17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7" s="140" t="str">
        <f>MID(Tbl_B6_TextFunctions_01[[#This Row],[PO Code]],4,2)</f>
        <v>SL</v>
      </c>
    </row>
    <row r="18" spans="2:22" x14ac:dyDescent="0.25">
      <c r="B18" s="9">
        <v>11</v>
      </c>
      <c r="C18" s="125" t="s">
        <v>187</v>
      </c>
      <c r="D18" s="141"/>
      <c r="E18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8" s="146">
        <f>LEN(Tbl_B6_TextFunctions_01[[#This Row],[PO Code]])</f>
        <v>16</v>
      </c>
      <c r="G18" s="139" t="s">
        <v>229</v>
      </c>
      <c r="H18" s="138"/>
      <c r="I18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8" s="144" t="str">
        <f>TRIM(Tbl_B6_TextFunctions_01[[#This Row],[PO Code Extra Spaces]])</f>
        <v>HB.LV.LICK.MV.PM</v>
      </c>
      <c r="K18" s="141"/>
      <c r="L18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8" s="142" t="b">
        <f>EXACT(Tbl_B6_TextFunctions_01[[#This Row],[PO Code]],Tbl_B6_TextFunctions_01[[#This Row],[PO Code Extra Spaces Trimmed]])</f>
        <v>0</v>
      </c>
      <c r="N18" s="141"/>
      <c r="O18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8" s="143" t="str">
        <f>LEFT(Tbl_B6_TextFunctions_01[[#This Row],[PO Code]],2)</f>
        <v>HB</v>
      </c>
      <c r="Q18" s="141"/>
      <c r="R18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8" s="143" t="str">
        <f>RIGHT(Tbl_B6_TextFunctions_01[[#This Row],[PO Code]],4)</f>
        <v>V.PM</v>
      </c>
      <c r="T18" s="138"/>
      <c r="U18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8" s="140" t="str">
        <f>MID(Tbl_B6_TextFunctions_01[[#This Row],[PO Code]],4,2)</f>
        <v>LV</v>
      </c>
    </row>
    <row r="19" spans="2:22" x14ac:dyDescent="0.25">
      <c r="B19" s="9">
        <v>12</v>
      </c>
      <c r="C19" s="125" t="s">
        <v>188</v>
      </c>
      <c r="D19" s="141"/>
      <c r="E19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19" s="146">
        <f>LEN(Tbl_B6_TextFunctions_01[[#This Row],[PO Code]])</f>
        <v>18</v>
      </c>
      <c r="G19" s="139" t="s">
        <v>230</v>
      </c>
      <c r="H19" s="138"/>
      <c r="I19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19" s="144" t="str">
        <f>TRIM(Tbl_B6_TextFunctions_01[[#This Row],[PO Code Extra Spaces]])</f>
        <v>HB.GC.DBTH.CBLE.LG</v>
      </c>
      <c r="K19" s="141"/>
      <c r="L19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19" s="142" t="b">
        <f>EXACT(Tbl_B6_TextFunctions_01[[#This Row],[PO Code]],Tbl_B6_TextFunctions_01[[#This Row],[PO Code Extra Spaces Trimmed]])</f>
        <v>0</v>
      </c>
      <c r="N19" s="141"/>
      <c r="O19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19" s="143" t="str">
        <f>LEFT(Tbl_B6_TextFunctions_01[[#This Row],[PO Code]],2)</f>
        <v>HB</v>
      </c>
      <c r="Q19" s="141"/>
      <c r="R19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19" s="143" t="str">
        <f>RIGHT(Tbl_B6_TextFunctions_01[[#This Row],[PO Code]],4)</f>
        <v>E.LG</v>
      </c>
      <c r="T19" s="138"/>
      <c r="U19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19" s="140" t="str">
        <f>MID(Tbl_B6_TextFunctions_01[[#This Row],[PO Code]],4,2)</f>
        <v>GC</v>
      </c>
    </row>
    <row r="20" spans="2:22" x14ac:dyDescent="0.25">
      <c r="B20" s="9">
        <v>13</v>
      </c>
      <c r="C20" s="125" t="s">
        <v>189</v>
      </c>
      <c r="D20" s="141"/>
      <c r="E20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0" s="146">
        <f>LEN(Tbl_B6_TextFunctions_01[[#This Row],[PO Code]])</f>
        <v>15</v>
      </c>
      <c r="G20" s="139" t="s">
        <v>231</v>
      </c>
      <c r="H20" s="138"/>
      <c r="I20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0" s="144" t="str">
        <f>TRIM(Tbl_B6_TextFunctions_01[[#This Row],[PO Code Extra Spaces]])</f>
        <v>HB.LV.WEPO.LEMC</v>
      </c>
      <c r="K20" s="141"/>
      <c r="L20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0" s="142" t="b">
        <f>EXACT(Tbl_B6_TextFunctions_01[[#This Row],[PO Code]],Tbl_B6_TextFunctions_01[[#This Row],[PO Code Extra Spaces Trimmed]])</f>
        <v>0</v>
      </c>
      <c r="N20" s="141"/>
      <c r="O20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0" s="143" t="str">
        <f>LEFT(Tbl_B6_TextFunctions_01[[#This Row],[PO Code]],2)</f>
        <v>HB</v>
      </c>
      <c r="Q20" s="141"/>
      <c r="R20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0" s="143" t="str">
        <f>RIGHT(Tbl_B6_TextFunctions_01[[#This Row],[PO Code]],4)</f>
        <v>LEMC</v>
      </c>
      <c r="T20" s="138"/>
      <c r="U20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0" s="140" t="str">
        <f>MID(Tbl_B6_TextFunctions_01[[#This Row],[PO Code]],4,2)</f>
        <v>LV</v>
      </c>
    </row>
    <row r="21" spans="2:22" x14ac:dyDescent="0.25">
      <c r="B21" s="9">
        <v>14</v>
      </c>
      <c r="C21" s="125" t="s">
        <v>190</v>
      </c>
      <c r="D21" s="141"/>
      <c r="E21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1" s="146">
        <f>LEN(Tbl_B6_TextFunctions_01[[#This Row],[PO Code]])</f>
        <v>17</v>
      </c>
      <c r="G21" s="139" t="s">
        <v>232</v>
      </c>
      <c r="H21" s="138"/>
      <c r="I21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1" s="144" t="str">
        <f>TRIM(Tbl_B6_TextFunctions_01[[#This Row],[PO Code Extra Spaces]])</f>
        <v>HB.VA.SPFP.QLE.SM</v>
      </c>
      <c r="K21" s="141"/>
      <c r="L21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1" s="142" t="b">
        <f>EXACT(Tbl_B6_TextFunctions_01[[#This Row],[PO Code]],Tbl_B6_TextFunctions_01[[#This Row],[PO Code Extra Spaces Trimmed]])</f>
        <v>0</v>
      </c>
      <c r="N21" s="141"/>
      <c r="O21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1" s="143" t="str">
        <f>LEFT(Tbl_B6_TextFunctions_01[[#This Row],[PO Code]],2)</f>
        <v>HB</v>
      </c>
      <c r="Q21" s="141"/>
      <c r="R21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1" s="143" t="str">
        <f>RIGHT(Tbl_B6_TextFunctions_01[[#This Row],[PO Code]],4)</f>
        <v>E.SM</v>
      </c>
      <c r="T21" s="138"/>
      <c r="U21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1" s="140" t="str">
        <f>MID(Tbl_B6_TextFunctions_01[[#This Row],[PO Code]],4,2)</f>
        <v>VA</v>
      </c>
    </row>
    <row r="22" spans="2:22" x14ac:dyDescent="0.25">
      <c r="B22" s="9">
        <v>15</v>
      </c>
      <c r="C22" s="125" t="s">
        <v>191</v>
      </c>
      <c r="D22" s="141"/>
      <c r="E22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2" s="146">
        <f>LEN(Tbl_B6_TextFunctions_01[[#This Row],[PO Code]])</f>
        <v>12</v>
      </c>
      <c r="G22" s="139" t="s">
        <v>233</v>
      </c>
      <c r="H22" s="138"/>
      <c r="I22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2" s="144" t="str">
        <f>TRIM(Tbl_B6_TextFunctions_01[[#This Row],[PO Code Extra Spaces]])</f>
        <v>AC.GC.SCW.LE</v>
      </c>
      <c r="K22" s="141"/>
      <c r="L22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2" s="142" t="b">
        <f>EXACT(Tbl_B6_TextFunctions_01[[#This Row],[PO Code]],Tbl_B6_TextFunctions_01[[#This Row],[PO Code Extra Spaces Trimmed]])</f>
        <v>0</v>
      </c>
      <c r="N22" s="141"/>
      <c r="O22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2" s="143" t="str">
        <f>LEFT(Tbl_B6_TextFunctions_01[[#This Row],[PO Code]],2)</f>
        <v>AC</v>
      </c>
      <c r="Q22" s="141"/>
      <c r="R22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2" s="143" t="str">
        <f>RIGHT(Tbl_B6_TextFunctions_01[[#This Row],[PO Code]],4)</f>
        <v>W.LE</v>
      </c>
      <c r="T22" s="138"/>
      <c r="U22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2" s="140" t="str">
        <f>MID(Tbl_B6_TextFunctions_01[[#This Row],[PO Code]],4,2)</f>
        <v>GC</v>
      </c>
    </row>
    <row r="23" spans="2:22" x14ac:dyDescent="0.25">
      <c r="B23" s="9">
        <v>16</v>
      </c>
      <c r="C23" s="125" t="s">
        <v>192</v>
      </c>
      <c r="D23" s="141"/>
      <c r="E23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3" s="146">
        <f>LEN(Tbl_B6_TextFunctions_01[[#This Row],[PO Code]])</f>
        <v>18</v>
      </c>
      <c r="G23" s="139" t="s">
        <v>234</v>
      </c>
      <c r="H23" s="138"/>
      <c r="I23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3" s="144" t="str">
        <f>TRIM(Tbl_B6_TextFunctions_01[[#This Row],[PO Code Extra Spaces]])</f>
        <v>AC.CH.ZAWA.QULA.LO</v>
      </c>
      <c r="K23" s="141"/>
      <c r="L23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3" s="142" t="b">
        <f>EXACT(Tbl_B6_TextFunctions_01[[#This Row],[PO Code]],Tbl_B6_TextFunctions_01[[#This Row],[PO Code Extra Spaces Trimmed]])</f>
        <v>0</v>
      </c>
      <c r="N23" s="141"/>
      <c r="O23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3" s="143" t="str">
        <f>LEFT(Tbl_B6_TextFunctions_01[[#This Row],[PO Code]],2)</f>
        <v>AC</v>
      </c>
      <c r="Q23" s="141"/>
      <c r="R23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3" s="143" t="str">
        <f>RIGHT(Tbl_B6_TextFunctions_01[[#This Row],[PO Code]],4)</f>
        <v>A.LO</v>
      </c>
      <c r="T23" s="138"/>
      <c r="U23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3" s="140" t="str">
        <f>MID(Tbl_B6_TextFunctions_01[[#This Row],[PO Code]],4,2)</f>
        <v>CH</v>
      </c>
    </row>
    <row r="24" spans="2:22" x14ac:dyDescent="0.25">
      <c r="B24" s="9">
        <v>17</v>
      </c>
      <c r="C24" s="125" t="s">
        <v>193</v>
      </c>
      <c r="D24" s="141"/>
      <c r="E24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4" s="146">
        <f>LEN(Tbl_B6_TextFunctions_01[[#This Row],[PO Code]])</f>
        <v>18</v>
      </c>
      <c r="G24" s="139" t="s">
        <v>235</v>
      </c>
      <c r="H24" s="138"/>
      <c r="I24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4" s="144" t="str">
        <f>TRIM(Tbl_B6_TextFunctions_01[[#This Row],[PO Code Extra Spaces]])</f>
        <v>AC.CH.LYWA.QULA.LO</v>
      </c>
      <c r="K24" s="141"/>
      <c r="L24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4" s="142" t="b">
        <f>EXACT(Tbl_B6_TextFunctions_01[[#This Row],[PO Code]],Tbl_B6_TextFunctions_01[[#This Row],[PO Code Extra Spaces Trimmed]])</f>
        <v>0</v>
      </c>
      <c r="N24" s="141"/>
      <c r="O24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4" s="143" t="str">
        <f>LEFT(Tbl_B6_TextFunctions_01[[#This Row],[PO Code]],2)</f>
        <v>AC</v>
      </c>
      <c r="Q24" s="141"/>
      <c r="R24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4" s="143" t="str">
        <f>RIGHT(Tbl_B6_TextFunctions_01[[#This Row],[PO Code]],4)</f>
        <v>A.LO</v>
      </c>
      <c r="T24" s="138"/>
      <c r="U24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4" s="140" t="str">
        <f>MID(Tbl_B6_TextFunctions_01[[#This Row],[PO Code]],4,2)</f>
        <v>CH</v>
      </c>
    </row>
    <row r="25" spans="2:22" x14ac:dyDescent="0.25">
      <c r="B25" s="9">
        <v>18</v>
      </c>
      <c r="C25" s="125" t="s">
        <v>194</v>
      </c>
      <c r="D25" s="141"/>
      <c r="E25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5" s="146">
        <f>LEN(Tbl_B6_TextFunctions_01[[#This Row],[PO Code]])</f>
        <v>13</v>
      </c>
      <c r="G25" s="139" t="s">
        <v>236</v>
      </c>
      <c r="H25" s="138"/>
      <c r="I25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5" s="144" t="str">
        <f>TRIM(Tbl_B6_TextFunctions_01[[#This Row],[PO Code Extra Spaces]])</f>
        <v>HB.LV.FELP.EL</v>
      </c>
      <c r="K25" s="141"/>
      <c r="L25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5" s="142" t="b">
        <f>EXACT(Tbl_B6_TextFunctions_01[[#This Row],[PO Code]],Tbl_B6_TextFunctions_01[[#This Row],[PO Code Extra Spaces Trimmed]])</f>
        <v>0</v>
      </c>
      <c r="N25" s="141"/>
      <c r="O25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5" s="143" t="str">
        <f>LEFT(Tbl_B6_TextFunctions_01[[#This Row],[PO Code]],2)</f>
        <v>HB</v>
      </c>
      <c r="Q25" s="141"/>
      <c r="R25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5" s="143" t="str">
        <f>RIGHT(Tbl_B6_TextFunctions_01[[#This Row],[PO Code]],4)</f>
        <v>P.EL</v>
      </c>
      <c r="T25" s="138"/>
      <c r="U25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5" s="140" t="str">
        <f>MID(Tbl_B6_TextFunctions_01[[#This Row],[PO Code]],4,2)</f>
        <v>LV</v>
      </c>
    </row>
    <row r="26" spans="2:22" x14ac:dyDescent="0.25">
      <c r="B26" s="9">
        <v>19</v>
      </c>
      <c r="C26" s="125" t="s">
        <v>195</v>
      </c>
      <c r="D26" s="141"/>
      <c r="E26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6" s="146">
        <f>LEN(Tbl_B6_TextFunctions_01[[#This Row],[PO Code]])</f>
        <v>14</v>
      </c>
      <c r="G26" s="139" t="s">
        <v>237</v>
      </c>
      <c r="H26" s="138"/>
      <c r="I26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6" s="144" t="str">
        <f>TRIM(Tbl_B6_TextFunctions_01[[#This Row],[PO Code Extra Spaces]])</f>
        <v>AC.CH.LYWA.QCA</v>
      </c>
      <c r="K26" s="141"/>
      <c r="L26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6" s="142" t="b">
        <f>EXACT(Tbl_B6_TextFunctions_01[[#This Row],[PO Code]],Tbl_B6_TextFunctions_01[[#This Row],[PO Code Extra Spaces Trimmed]])</f>
        <v>0</v>
      </c>
      <c r="N26" s="141"/>
      <c r="O26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6" s="143" t="str">
        <f>LEFT(Tbl_B6_TextFunctions_01[[#This Row],[PO Code]],2)</f>
        <v>AC</v>
      </c>
      <c r="Q26" s="141"/>
      <c r="R26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6" s="143" t="str">
        <f>RIGHT(Tbl_B6_TextFunctions_01[[#This Row],[PO Code]],4)</f>
        <v>.QCA</v>
      </c>
      <c r="T26" s="138"/>
      <c r="U26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6" s="140" t="str">
        <f>MID(Tbl_B6_TextFunctions_01[[#This Row],[PO Code]],4,2)</f>
        <v>CH</v>
      </c>
    </row>
    <row r="27" spans="2:22" x14ac:dyDescent="0.25">
      <c r="B27" s="9">
        <v>20</v>
      </c>
      <c r="C27" s="125" t="s">
        <v>196</v>
      </c>
      <c r="D27" s="141"/>
      <c r="E27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7" s="146">
        <f>LEN(Tbl_B6_TextFunctions_01[[#This Row],[PO Code]])</f>
        <v>17</v>
      </c>
      <c r="G27" s="139" t="s">
        <v>238</v>
      </c>
      <c r="H27" s="138"/>
      <c r="I27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7" s="144" t="str">
        <f>TRIM(Tbl_B6_TextFunctions_01[[#This Row],[PO Code Extra Spaces]])</f>
        <v>HB.GC.DYS.ABCC.SM</v>
      </c>
      <c r="K27" s="141"/>
      <c r="L27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7" s="142" t="b">
        <f>EXACT(Tbl_B6_TextFunctions_01[[#This Row],[PO Code]],Tbl_B6_TextFunctions_01[[#This Row],[PO Code Extra Spaces Trimmed]])</f>
        <v>0</v>
      </c>
      <c r="N27" s="141"/>
      <c r="O27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7" s="143" t="str">
        <f>LEFT(Tbl_B6_TextFunctions_01[[#This Row],[PO Code]],2)</f>
        <v>HB</v>
      </c>
      <c r="Q27" s="141"/>
      <c r="R27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7" s="143" t="str">
        <f>RIGHT(Tbl_B6_TextFunctions_01[[#This Row],[PO Code]],4)</f>
        <v>C.SM</v>
      </c>
      <c r="T27" s="138"/>
      <c r="U27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7" s="140" t="str">
        <f>MID(Tbl_B6_TextFunctions_01[[#This Row],[PO Code]],4,2)</f>
        <v>GC</v>
      </c>
    </row>
    <row r="28" spans="2:22" x14ac:dyDescent="0.25">
      <c r="B28" s="9">
        <v>21</v>
      </c>
      <c r="C28" s="125" t="s">
        <v>197</v>
      </c>
      <c r="D28" s="141"/>
      <c r="E28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8" s="146">
        <f>LEN(Tbl_B6_TextFunctions_01[[#This Row],[PO Code]])</f>
        <v>15</v>
      </c>
      <c r="G28" s="139" t="s">
        <v>239</v>
      </c>
      <c r="H28" s="138"/>
      <c r="I28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8" s="144" t="str">
        <f>TRIM(Tbl_B6_TextFunctions_01[[#This Row],[PO Code Extra Spaces]])</f>
        <v>AC.LV.EMWL.MNCA</v>
      </c>
      <c r="K28" s="141"/>
      <c r="L28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8" s="142" t="b">
        <f>EXACT(Tbl_B6_TextFunctions_01[[#This Row],[PO Code]],Tbl_B6_TextFunctions_01[[#This Row],[PO Code Extra Spaces Trimmed]])</f>
        <v>0</v>
      </c>
      <c r="N28" s="141"/>
      <c r="O28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8" s="143" t="str">
        <f>LEFT(Tbl_B6_TextFunctions_01[[#This Row],[PO Code]],2)</f>
        <v>AC</v>
      </c>
      <c r="Q28" s="141"/>
      <c r="R28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8" s="143" t="str">
        <f>RIGHT(Tbl_B6_TextFunctions_01[[#This Row],[PO Code]],4)</f>
        <v>MNCA</v>
      </c>
      <c r="T28" s="138"/>
      <c r="U28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8" s="140" t="str">
        <f>MID(Tbl_B6_TextFunctions_01[[#This Row],[PO Code]],4,2)</f>
        <v>LV</v>
      </c>
    </row>
    <row r="29" spans="2:22" x14ac:dyDescent="0.25">
      <c r="B29" s="9">
        <v>22</v>
      </c>
      <c r="C29" s="125" t="s">
        <v>198</v>
      </c>
      <c r="D29" s="141"/>
      <c r="E29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29" s="146">
        <f>LEN(Tbl_B6_TextFunctions_01[[#This Row],[PO Code]])</f>
        <v>17</v>
      </c>
      <c r="G29" s="139" t="s">
        <v>240</v>
      </c>
      <c r="H29" s="138"/>
      <c r="I29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29" s="144" t="str">
        <f>TRIM(Tbl_B6_TextFunctions_01[[#This Row],[PO Code Extra Spaces]])</f>
        <v>HB.CH.TCST.QCA.LG</v>
      </c>
      <c r="K29" s="141"/>
      <c r="L29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29" s="142" t="b">
        <f>EXACT(Tbl_B6_TextFunctions_01[[#This Row],[PO Code]],Tbl_B6_TextFunctions_01[[#This Row],[PO Code Extra Spaces Trimmed]])</f>
        <v>0</v>
      </c>
      <c r="N29" s="141"/>
      <c r="O29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29" s="143" t="str">
        <f>LEFT(Tbl_B6_TextFunctions_01[[#This Row],[PO Code]],2)</f>
        <v>HB</v>
      </c>
      <c r="Q29" s="141"/>
      <c r="R29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29" s="143" t="str">
        <f>RIGHT(Tbl_B6_TextFunctions_01[[#This Row],[PO Code]],4)</f>
        <v>A.LG</v>
      </c>
      <c r="T29" s="138"/>
      <c r="U29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29" s="140" t="str">
        <f>MID(Tbl_B6_TextFunctions_01[[#This Row],[PO Code]],4,2)</f>
        <v>CH</v>
      </c>
    </row>
    <row r="30" spans="2:22" x14ac:dyDescent="0.25">
      <c r="B30" s="9">
        <v>23</v>
      </c>
      <c r="C30" s="125" t="s">
        <v>199</v>
      </c>
      <c r="D30" s="141"/>
      <c r="E30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30" s="146">
        <f>LEN(Tbl_B6_TextFunctions_01[[#This Row],[PO Code]])</f>
        <v>19</v>
      </c>
      <c r="G30" s="139" t="s">
        <v>241</v>
      </c>
      <c r="H30" s="138"/>
      <c r="I30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30" s="144" t="str">
        <f>TRIM(Tbl_B6_TextFunctions_01[[#This Row],[PO Code Extra Spaces]])</f>
        <v>HB.VA.ROROC.SLTU.SM</v>
      </c>
      <c r="K30" s="141"/>
      <c r="L30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30" s="142" t="b">
        <f>EXACT(Tbl_B6_TextFunctions_01[[#This Row],[PO Code]],Tbl_B6_TextFunctions_01[[#This Row],[PO Code Extra Spaces Trimmed]])</f>
        <v>0</v>
      </c>
      <c r="N30" s="141"/>
      <c r="O30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30" s="143" t="str">
        <f>LEFT(Tbl_B6_TextFunctions_01[[#This Row],[PO Code]],2)</f>
        <v>HB</v>
      </c>
      <c r="Q30" s="141"/>
      <c r="R30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30" s="143" t="str">
        <f>RIGHT(Tbl_B6_TextFunctions_01[[#This Row],[PO Code]],4)</f>
        <v>U.SM</v>
      </c>
      <c r="T30" s="138"/>
      <c r="U30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30" s="140" t="str">
        <f>MID(Tbl_B6_TextFunctions_01[[#This Row],[PO Code]],4,2)</f>
        <v>VA</v>
      </c>
    </row>
    <row r="31" spans="2:22" x14ac:dyDescent="0.25">
      <c r="B31" s="9">
        <v>24</v>
      </c>
      <c r="C31" s="125" t="s">
        <v>200</v>
      </c>
      <c r="D31" s="141"/>
      <c r="E31" s="46" t="str">
        <f>IFERROR(IF(Tbl_B6_TextFunctions_01[[#This Row],[Character Count of PO Code]]="","",IF(AND(_xlfn.ISFORMULA(Tbl_B6_TextFunctions_01[[#This Row],[Character Count of PO Code]]),EXACT(Tbl_B6_TextFunctions_01[[#This Row],[Character Count of PO Code]],Tbl_B6_TextFunctions_01[[#This Row],[Character Count of PO Code ANS]])),Rng_Lkp_AnswerStatus_Good,Rng_Lkp_AnswerStatus_Bad)),Rng_Lkp_AnswerStatus_Bad)</f>
        <v/>
      </c>
      <c r="F31" s="146">
        <f>LEN(Tbl_B6_TextFunctions_01[[#This Row],[PO Code]])</f>
        <v>17</v>
      </c>
      <c r="G31" s="139" t="s">
        <v>242</v>
      </c>
      <c r="H31" s="138"/>
      <c r="I31" s="46" t="str">
        <f>IFERROR(IF(Tbl_B6_TextFunctions_01[[#This Row],[PO Code Extra Spaces Trimmed]]="","",IF(AND(_xlfn.ISFORMULA(Tbl_B6_TextFunctions_01[[#This Row],[PO Code Extra Spaces Trimmed]]),EXACT(Tbl_B6_TextFunctions_01[[#This Row],[PO Code Extra Spaces Trimmed]],Tbl_B6_TextFunctions_01[[#This Row],[PO Code Extra Spaces Trimmed ANS]])),Rng_Lkp_AnswerStatus_Good,Rng_Lkp_AnswerStatus_Bad)),Rng_Lkp_AnswerStatus_Bad)</f>
        <v/>
      </c>
      <c r="J31" s="144" t="str">
        <f>TRIM(Tbl_B6_TextFunctions_01[[#This Row],[PO Code Extra Spaces]])</f>
        <v>HB.CH.BIA.QUCC.SM</v>
      </c>
      <c r="K31" s="141"/>
      <c r="L31" s="19" t="str">
        <f>IFERROR(IF(Tbl_B6_TextFunctions_01[[#This Row],[Is PO Code Exactly the Same as Trimmed PO Code?]]="","",IF(AND(_xlfn.ISFORMULA(Tbl_B6_TextFunctions_01[[#This Row],[Is PO Code Exactly the Same as Trimmed PO Code?]]),EXACT(Tbl_B6_TextFunctions_01[[#This Row],[Is PO Code Exactly the Same as Trimmed PO Code?]],Tbl_B6_TextFunctions_01[[#This Row],[Is PO Code Exactly the Same as Trimmed PO Code? ANS]])),Rng_Lkp_AnswerStatus_Good,Rng_Lkp_AnswerStatus_Bad)),Rng_Lkp_AnswerStatus_Bad)</f>
        <v/>
      </c>
      <c r="M31" s="142" t="b">
        <f>EXACT(Tbl_B6_TextFunctions_01[[#This Row],[PO Code]],Tbl_B6_TextFunctions_01[[#This Row],[PO Code Extra Spaces Trimmed]])</f>
        <v>0</v>
      </c>
      <c r="N31" s="141"/>
      <c r="O31" s="19" t="str">
        <f>IFERROR(IF(Tbl_B6_TextFunctions_01[[#This Row],[First 2 Characters of PO Code]]="","",IF(AND(_xlfn.ISFORMULA(Tbl_B6_TextFunctions_01[[#This Row],[First 2 Characters of PO Code]]),EXACT(Tbl_B6_TextFunctions_01[[#This Row],[First 2 Characters of PO Code]],Tbl_B6_TextFunctions_01[[#This Row],[First 2 Characters of PO Code ANS]])),Rng_Lkp_AnswerStatus_Good,Rng_Lkp_AnswerStatus_Bad)),Rng_Lkp_AnswerStatus_Bad)</f>
        <v/>
      </c>
      <c r="P31" s="143" t="str">
        <f>LEFT(Tbl_B6_TextFunctions_01[[#This Row],[PO Code]],2)</f>
        <v>HB</v>
      </c>
      <c r="Q31" s="141"/>
      <c r="R31" s="19" t="str">
        <f>IFERROR(IF(Tbl_B6_TextFunctions_01[[#This Row],[Last 4 Characters of PO Code]]="","",IF(AND(_xlfn.ISFORMULA(Tbl_B6_TextFunctions_01[[#This Row],[Last 4 Characters of PO Code]]),EXACT(Tbl_B6_TextFunctions_01[[#This Row],[Last 4 Characters of PO Code]],Tbl_B6_TextFunctions_01[[#This Row],[Last 4 Characters of PO Code ANS]])),Rng_Lkp_AnswerStatus_Good,Rng_Lkp_AnswerStatus_Bad)),Rng_Lkp_AnswerStatus_Bad)</f>
        <v/>
      </c>
      <c r="S31" s="143" t="str">
        <f>RIGHT(Tbl_B6_TextFunctions_01[[#This Row],[PO Code]],4)</f>
        <v>C.SM</v>
      </c>
      <c r="T31" s="138"/>
      <c r="U31" s="19" t="str">
        <f>IFERROR(IF(Tbl_B6_TextFunctions_01[[#This Row],[4th &amp; 5th Characters of PO Code]]="","",IF(AND(_xlfn.ISFORMULA(Tbl_B6_TextFunctions_01[[#This Row],[4th &amp; 5th Characters of PO Code]]),EXACT(Tbl_B6_TextFunctions_01[[#This Row],[4th &amp; 5th Characters of PO Code]],Tbl_B6_TextFunctions_01[[#This Row],[4th &amp; 5th Characters of PO Code ANS]])),Rng_Lkp_AnswerStatus_Good,Rng_Lkp_AnswerStatus_Bad)),Rng_Lkp_AnswerStatus_Bad)</f>
        <v/>
      </c>
      <c r="V31" s="140" t="str">
        <f>MID(Tbl_B6_TextFunctions_01[[#This Row],[PO Code]],4,2)</f>
        <v>CH</v>
      </c>
    </row>
  </sheetData>
  <conditionalFormatting sqref="B5:B6 E6 I6 L6 O6 R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V31">
    <cfRule type="cellIs" dxfId="138" priority="4" operator="equal">
      <formula>Rng_Lkp_AnswerStatus_Bad</formula>
    </cfRule>
    <cfRule type="cellIs" dxfId="137" priority="5" operator="equal">
      <formula>Rng_Lkp_AnswerStatus_Good</formula>
    </cfRule>
  </conditionalFormatting>
  <conditionalFormatting sqref="U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F67D-66CF-4F17-A038-ADC69D3C2426}">
  <sheetPr>
    <tabColor theme="5"/>
  </sheetPr>
  <dimension ref="A1:AR3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21.85546875" style="8" bestFit="1" customWidth="1"/>
    <col min="4" max="4" width="13.7109375" style="8" customWidth="1"/>
    <col min="5" max="5" width="8.140625" style="8" bestFit="1" customWidth="1"/>
    <col min="6" max="6" width="14.28515625" style="8" hidden="1" customWidth="1" outlineLevel="1"/>
    <col min="7" max="7" width="14.42578125" style="8" bestFit="1" customWidth="1" collapsed="1"/>
    <col min="8" max="8" width="8.140625" style="8" bestFit="1" customWidth="1"/>
    <col min="9" max="9" width="15" style="8" hidden="1" customWidth="1" outlineLevel="1"/>
    <col min="10" max="10" width="14" style="8" bestFit="1" customWidth="1" collapsed="1"/>
    <col min="11" max="11" width="8.140625" style="8" bestFit="1" customWidth="1"/>
    <col min="12" max="12" width="14.5703125" style="8" hidden="1" customWidth="1" outlineLevel="1"/>
    <col min="13" max="13" width="11.28515625" style="8" bestFit="1" customWidth="1" collapsed="1"/>
    <col min="14" max="14" width="8.140625" style="8" bestFit="1" customWidth="1"/>
    <col min="15" max="15" width="14.85546875" style="8" hidden="1" customWidth="1" outlineLevel="1"/>
    <col min="16" max="16" width="11.28515625" style="8" bestFit="1" customWidth="1" collapsed="1"/>
    <col min="17" max="17" width="8.140625" style="8" bestFit="1" customWidth="1"/>
    <col min="18" max="18" width="14.85546875" style="8" hidden="1" customWidth="1" outlineLevel="1"/>
    <col min="19" max="19" width="11.28515625" style="8" bestFit="1" customWidth="1" collapsed="1"/>
    <col min="20" max="20" width="8.140625" style="8" bestFit="1" customWidth="1"/>
    <col min="21" max="21" width="14.85546875" style="8" hidden="1" customWidth="1" outlineLevel="1"/>
    <col min="22" max="22" width="20.140625" style="8" bestFit="1" customWidth="1" collapsed="1"/>
    <col min="23" max="23" width="8.140625" style="8" bestFit="1" customWidth="1"/>
    <col min="24" max="24" width="22" style="8" hidden="1" customWidth="1" outlineLevel="1"/>
    <col min="25" max="25" width="26" style="8" bestFit="1" customWidth="1" collapsed="1"/>
    <col min="26" max="26" width="8.140625" style="8" bestFit="1" customWidth="1"/>
    <col min="27" max="27" width="26.7109375" style="8" hidden="1" customWidth="1" outlineLevel="1"/>
    <col min="28" max="28" width="26" style="8" customWidth="1" collapsed="1"/>
    <col min="29" max="29" width="8.140625" style="8" customWidth="1"/>
    <col min="30" max="30" width="26.7109375" style="8" hidden="1" customWidth="1" outlineLevel="1"/>
    <col min="31" max="31" width="23.5703125" style="8" customWidth="1" collapsed="1"/>
    <col min="32" max="32" width="8.140625" style="8" customWidth="1"/>
    <col min="33" max="33" width="24.42578125" style="8" hidden="1" customWidth="1" outlineLevel="1"/>
    <col min="34" max="34" width="19.85546875" style="8" customWidth="1" collapsed="1"/>
    <col min="35" max="35" width="19.28515625" style="8" customWidth="1"/>
    <col min="36" max="36" width="8.140625" style="8" customWidth="1"/>
    <col min="37" max="37" width="18.42578125" style="8" hidden="1" customWidth="1" outlineLevel="1"/>
    <col min="38" max="38" width="20.7109375" style="8" customWidth="1" collapsed="1"/>
    <col min="39" max="39" width="8.140625" style="8" customWidth="1"/>
    <col min="40" max="40" width="21.42578125" style="8" hidden="1" customWidth="1" outlineLevel="1"/>
    <col min="41" max="41" width="18.5703125" style="8" bestFit="1" customWidth="1" collapsed="1"/>
    <col min="42" max="42" width="8.140625" style="8" bestFit="1" customWidth="1"/>
    <col min="43" max="43" width="19.140625" style="8" hidden="1" customWidth="1" outlineLevel="1"/>
    <col min="44" max="44" width="9.140625" style="8" collapsed="1"/>
    <col min="45" max="16384" width="9.140625" style="8"/>
  </cols>
  <sheetData>
    <row r="1" spans="1:43" s="6" customFormat="1" ht="21" x14ac:dyDescent="0.35">
      <c r="A1" s="35"/>
      <c r="B1" s="3"/>
      <c r="D1" s="40" t="s">
        <v>102</v>
      </c>
    </row>
    <row r="2" spans="1:43" s="6" customFormat="1" ht="18.75" x14ac:dyDescent="0.3">
      <c r="A2" s="36"/>
      <c r="B2" s="7"/>
      <c r="D2" s="41" t="s">
        <v>24</v>
      </c>
    </row>
    <row r="3" spans="1:43" ht="6.95" customHeight="1" x14ac:dyDescent="0.25"/>
    <row r="4" spans="1:43" x14ac:dyDescent="0.25">
      <c r="C4" s="103" t="s">
        <v>22</v>
      </c>
      <c r="D4" s="21">
        <v>1</v>
      </c>
      <c r="E4" s="12"/>
      <c r="F4" s="12"/>
      <c r="G4" s="21">
        <v>2</v>
      </c>
      <c r="H4" s="12"/>
      <c r="I4" s="12"/>
      <c r="J4" s="21">
        <v>3</v>
      </c>
      <c r="K4" s="12"/>
      <c r="L4" s="12"/>
      <c r="M4" s="21">
        <v>4</v>
      </c>
      <c r="N4" s="12"/>
      <c r="O4" s="12"/>
      <c r="P4" s="21">
        <v>5</v>
      </c>
      <c r="Q4" s="12"/>
      <c r="R4" s="12"/>
      <c r="S4" s="21">
        <v>6</v>
      </c>
      <c r="T4" s="12"/>
      <c r="U4" s="12"/>
      <c r="V4" s="21">
        <v>7</v>
      </c>
      <c r="W4" s="12"/>
      <c r="X4" s="12"/>
      <c r="Y4" s="21">
        <v>8</v>
      </c>
      <c r="Z4" s="12"/>
      <c r="AA4" s="12"/>
      <c r="AB4" s="21">
        <v>9</v>
      </c>
      <c r="AC4" s="12"/>
      <c r="AD4" s="12"/>
      <c r="AE4" s="21">
        <v>10</v>
      </c>
      <c r="AF4" s="12"/>
      <c r="AG4" s="12"/>
      <c r="AH4" s="12"/>
      <c r="AI4" s="21">
        <v>11</v>
      </c>
      <c r="AJ4" s="12"/>
      <c r="AK4" s="12"/>
      <c r="AL4" s="21">
        <v>12</v>
      </c>
      <c r="AM4" s="12"/>
      <c r="AN4" s="12"/>
      <c r="AO4" s="21">
        <v>13</v>
      </c>
      <c r="AP4" s="12"/>
      <c r="AQ4" s="12"/>
    </row>
    <row r="5" spans="1:43" hidden="1" outlineLevel="1" x14ac:dyDescent="0.25">
      <c r="B5" s="25" t="str">
        <f>IFERROR(IF(SUMIFS(D5:AQ5,D4:AQ4,"&gt;=0")=0,"",SUMIFS(D5:AQ5,D4:AQ4,"&gt;=0")/SUMIFS(D5:AQ5,D6:AQ6,"ANSWER")),"")</f>
        <v/>
      </c>
      <c r="C5" s="22" t="s">
        <v>8</v>
      </c>
      <c r="D5" s="23">
        <f>IFERROR(COUNTA(Tbl_BONUS_03_TextFunctions_01[Position of 1st "." (period) in PO Code]),"")</f>
        <v>0</v>
      </c>
      <c r="E5" s="24">
        <f>IFERROR(COUNTIF(Tbl_BONUS_03_TextFunctions_01[Answer Status Q01],Rng_Lkp_AnswerStatus_Good),"")</f>
        <v>0</v>
      </c>
      <c r="F5" s="24">
        <f>IFERROR(COUNTA(Tbl_BONUS_03_TextFunctions_01[Position of 1st "." (period) in PO Code ANS]),"")</f>
        <v>24</v>
      </c>
      <c r="G5" s="23">
        <f>IFERROR(COUNTA(Tbl_BONUS_03_TextFunctions_01[Position of 2nd "." (period) in PO Code]),"")</f>
        <v>0</v>
      </c>
      <c r="H5" s="24">
        <f>IFERROR(COUNTIF(Tbl_BONUS_03_TextFunctions_01[Answer Status Q02],Rng_Lkp_AnswerStatus_Good),"")</f>
        <v>0</v>
      </c>
      <c r="I5" s="24">
        <f>IFERROR(COUNTA(Tbl_BONUS_03_TextFunctions_01[Position of 2nd "." (period) in PO Code ANS]),"")</f>
        <v>24</v>
      </c>
      <c r="J5" s="23">
        <f>IFERROR(COUNTA(Tbl_BONUS_03_TextFunctions_01[Position of 3rd "." (period) in PO Code]),"")</f>
        <v>0</v>
      </c>
      <c r="K5" s="24">
        <f>IFERROR(COUNTIF(Tbl_BONUS_03_TextFunctions_01[Answer Status Q03],Rng_Lkp_AnswerStatus_Good),"")</f>
        <v>0</v>
      </c>
      <c r="L5" s="24">
        <f>IFERROR(COUNTA(Tbl_BONUS_03_TextFunctions_01[Position of 3rd "." (period) in PO Code ANS]),"")</f>
        <v>24</v>
      </c>
      <c r="M5" s="23">
        <f>IFERROR(COUNTA(Tbl_BONUS_03_TextFunctions_01[Contents of 1st Part of PO Code]),"")</f>
        <v>0</v>
      </c>
      <c r="N5" s="24">
        <f>IFERROR(COUNTIF(Tbl_BONUS_03_TextFunctions_01[Answer Status Q04],Rng_Lkp_AnswerStatus_Good),"")</f>
        <v>0</v>
      </c>
      <c r="O5" s="24">
        <f>IFERROR(COUNTA(Tbl_BONUS_03_TextFunctions_01[Contents of 1st Part of PO Code ANS]),"")</f>
        <v>24</v>
      </c>
      <c r="P5" s="23">
        <f>IFERROR(COUNTA(Tbl_BONUS_03_TextFunctions_01[Contents of 2nd Part of PO Code]),"")</f>
        <v>0</v>
      </c>
      <c r="Q5" s="24">
        <f>IFERROR(COUNTIF(Tbl_BONUS_03_TextFunctions_01[Answer Status Q05],Rng_Lkp_AnswerStatus_Good),"")</f>
        <v>0</v>
      </c>
      <c r="R5" s="24">
        <f>IFERROR(COUNTA(Tbl_BONUS_03_TextFunctions_01[Contents of 2nd Part of PO Code ANS]),"")</f>
        <v>24</v>
      </c>
      <c r="S5" s="23">
        <f>IFERROR(COUNTA(Tbl_BONUS_03_TextFunctions_01[Contents of 3rd Part of PO Code]),"")</f>
        <v>0</v>
      </c>
      <c r="T5" s="24">
        <f>IFERROR(COUNTIF(Tbl_BONUS_03_TextFunctions_01[Answer Status Q06],Rng_Lkp_AnswerStatus_Good),"")</f>
        <v>0</v>
      </c>
      <c r="U5" s="24">
        <f>IFERROR(COUNTA(Tbl_BONUS_03_TextFunctions_01[Contents of 3rd Part of PO Code ANS]),"")</f>
        <v>24</v>
      </c>
      <c r="V5" s="23">
        <f>IFERROR(COUNTA(Tbl_BONUS_03_TextFunctions_01[Parts 1, 2, and 3 of PO Code, Separated by "." (period) using &amp;]),"")</f>
        <v>0</v>
      </c>
      <c r="W5" s="24">
        <f>IFERROR(COUNTIF(Tbl_BONUS_03_TextFunctions_01[Answer Status Q07],Rng_Lkp_AnswerStatus_Good),"")</f>
        <v>0</v>
      </c>
      <c r="X5" s="24">
        <f>IFERROR(COUNTA(Tbl_BONUS_03_TextFunctions_01[Parts 1, 2, and 3 of PO Code, Separated by "." (period) using &amp; ANS]),"")</f>
        <v>24</v>
      </c>
      <c r="Y5" s="23">
        <f>IFERROR(COUNTA(Tbl_BONUS_03_TextFunctions_01[Parts 1, 2, and 3 of PO Code, Separated by "." (period) using CONCATENATE]),"")</f>
        <v>0</v>
      </c>
      <c r="Z5" s="24">
        <f>IFERROR(COUNTIF(Tbl_BONUS_03_TextFunctions_01[Answer Status Q08],Rng_Lkp_AnswerStatus_Good),"")</f>
        <v>0</v>
      </c>
      <c r="AA5" s="24">
        <f>IFERROR(COUNTA(Tbl_BONUS_03_TextFunctions_01[Parts 1, 2, and 3 of PO Code, Separated by "." (period) using CONCATENATE ANS]),"")</f>
        <v>24</v>
      </c>
      <c r="AB5" s="23">
        <f>IFERROR(COUNTA(Tbl_BONUS_03_TextFunctions_01[Parts 1, 2, and 3 of PO Code, Separated by "." (period) using TEXTJOIN]),"")</f>
        <v>0</v>
      </c>
      <c r="AC5" s="24">
        <f>IFERROR(COUNTIF(Tbl_BONUS_03_TextFunctions_01[Answer Status Q09],Rng_Lkp_AnswerStatus_Good),"")</f>
        <v>0</v>
      </c>
      <c r="AD5" s="24">
        <f>IFERROR(COUNTA(Tbl_BONUS_03_TextFunctions_01[Parts 1, 2, and 3 of PO Code, Separated by "." (period) using TEXTJOIN ANS]),"")</f>
        <v>24</v>
      </c>
      <c r="AE5" s="23">
        <f>IFERROR(COUNTA(Tbl_BONUS_03_TextFunctions_01[SUBSTITUTE "." (period) with "_" (underscore) in PO Code]),"")</f>
        <v>0</v>
      </c>
      <c r="AF5" s="24">
        <f>IFERROR(COUNTIF(Tbl_BONUS_03_TextFunctions_01[Answer Status Q10],Rng_Lkp_AnswerStatus_Good),"")</f>
        <v>0</v>
      </c>
      <c r="AG5" s="24">
        <f>IFERROR(COUNTA(Tbl_BONUS_03_TextFunctions_01[SUBSTITUTE "." (period) with "_" (underscore) in PO Code ANS]),"")</f>
        <v>24</v>
      </c>
      <c r="AH5" s="24"/>
      <c r="AI5" s="23">
        <f>IFERROR(COUNTA(Tbl_BONUS_03_TextFunctions_01[Vendor LOWER Case]),"")</f>
        <v>0</v>
      </c>
      <c r="AJ5" s="24">
        <f>IFERROR(COUNTIF(Tbl_BONUS_03_TextFunctions_01[Answer Status Q11],Rng_Lkp_AnswerStatus_Good),"")</f>
        <v>0</v>
      </c>
      <c r="AK5" s="24">
        <f>IFERROR(COUNTA(Tbl_BONUS_03_TextFunctions_01[Vendor LOWER Case ANS]),"")</f>
        <v>24</v>
      </c>
      <c r="AL5" s="23">
        <f>IFERROR(COUNTA(Tbl_BONUS_03_TextFunctions_01[Vendor UPPER Case]),"")</f>
        <v>0</v>
      </c>
      <c r="AM5" s="24">
        <f>IFERROR(COUNTIF(Tbl_BONUS_03_TextFunctions_01[Answer Status Q12],Rng_Lkp_AnswerStatus_Good),"")</f>
        <v>0</v>
      </c>
      <c r="AN5" s="24">
        <f>IFERROR(COUNTA(Tbl_BONUS_03_TextFunctions_01[Vendor UPPER Case ANS]),"")</f>
        <v>24</v>
      </c>
      <c r="AO5" s="23">
        <f>IFERROR(COUNTA(Tbl_BONUS_03_TextFunctions_01[Vendor Proper Case]),"")</f>
        <v>0</v>
      </c>
      <c r="AP5" s="24">
        <f>IFERROR(COUNTIF(Tbl_BONUS_03_TextFunctions_01[Answer Status Q13],Rng_Lkp_AnswerStatus_Good),"")</f>
        <v>0</v>
      </c>
      <c r="AQ5" s="24">
        <f>IFERROR(COUNTA(Tbl_BONUS_03_TextFunctions_01[Vendor Proper Case ANS]),"")</f>
        <v>24</v>
      </c>
    </row>
    <row r="6" spans="1:43" collapsed="1" x14ac:dyDescent="0.25">
      <c r="B6" s="25" t="str">
        <f>IFERROR(IF(SUMIFS(D5:AQ5,D4:AQ4,"&gt;=0")=0,"",SUMIFS(D5:AQ5,D6:AQ6,"&gt;=0", D6:AQ6,"&lt;=1")/SUMIFS(D5:AQ5,D4:AQ4,"&gt;0")),"")</f>
        <v/>
      </c>
      <c r="C6" s="22" t="s">
        <v>9</v>
      </c>
      <c r="D6" s="118" t="s">
        <v>268</v>
      </c>
      <c r="E6" s="20" t="str">
        <f>IFERROR(E5/D5,"")</f>
        <v/>
      </c>
      <c r="F6" s="119" t="s">
        <v>0</v>
      </c>
      <c r="G6" s="21" t="s">
        <v>268</v>
      </c>
      <c r="H6" s="20" t="str">
        <f>IFERROR(H5/G5,"")</f>
        <v/>
      </c>
      <c r="I6" s="119" t="s">
        <v>0</v>
      </c>
      <c r="J6" s="21" t="s">
        <v>268</v>
      </c>
      <c r="K6" s="20" t="str">
        <f>IFERROR(K5/J5,"")</f>
        <v/>
      </c>
      <c r="L6" s="119" t="s">
        <v>0</v>
      </c>
      <c r="M6" s="118" t="s">
        <v>216</v>
      </c>
      <c r="N6" s="20" t="str">
        <f>IFERROR(N5/M5,"")</f>
        <v/>
      </c>
      <c r="O6" s="119" t="s">
        <v>0</v>
      </c>
      <c r="P6" s="21" t="s">
        <v>218</v>
      </c>
      <c r="Q6" s="20" t="str">
        <f>IFERROR(Q5/P5,"")</f>
        <v/>
      </c>
      <c r="R6" s="119" t="s">
        <v>0</v>
      </c>
      <c r="S6" s="21" t="s">
        <v>218</v>
      </c>
      <c r="T6" s="20" t="str">
        <f>IFERROR(T5/S5,"")</f>
        <v/>
      </c>
      <c r="U6" s="119" t="s">
        <v>0</v>
      </c>
      <c r="V6" s="21" t="s">
        <v>269</v>
      </c>
      <c r="W6" s="20" t="str">
        <f>IFERROR(W5/V5,"")</f>
        <v/>
      </c>
      <c r="X6" s="119" t="s">
        <v>0</v>
      </c>
      <c r="Y6" s="21" t="s">
        <v>276</v>
      </c>
      <c r="Z6" s="20" t="str">
        <f>IFERROR(Z5/Y5,"")</f>
        <v/>
      </c>
      <c r="AA6" s="119" t="s">
        <v>0</v>
      </c>
      <c r="AB6" s="21" t="s">
        <v>277</v>
      </c>
      <c r="AC6" s="20" t="str">
        <f t="shared" ref="AC6" si="0">IFERROR(AC5/AB5,"")</f>
        <v/>
      </c>
      <c r="AD6" s="119" t="s">
        <v>0</v>
      </c>
      <c r="AE6" s="21" t="s">
        <v>278</v>
      </c>
      <c r="AF6" s="20" t="str">
        <f t="shared" ref="AF6" si="1">IFERROR(AF5/AE5,"")</f>
        <v/>
      </c>
      <c r="AG6" s="119" t="s">
        <v>0</v>
      </c>
      <c r="AH6" s="126"/>
      <c r="AI6" s="21" t="s">
        <v>279</v>
      </c>
      <c r="AJ6" s="20" t="str">
        <f t="shared" ref="AJ6" si="2">IFERROR(AJ5/AI5,"")</f>
        <v/>
      </c>
      <c r="AK6" s="119" t="s">
        <v>0</v>
      </c>
      <c r="AL6" s="21" t="s">
        <v>280</v>
      </c>
      <c r="AM6" s="20" t="str">
        <f t="shared" ref="AM6" si="3">IFERROR(AM5/AL5,"")</f>
        <v/>
      </c>
      <c r="AN6" s="119" t="s">
        <v>0</v>
      </c>
      <c r="AO6" s="21" t="s">
        <v>281</v>
      </c>
      <c r="AP6" s="20" t="str">
        <f>IFERROR(AP5/AO5,"")</f>
        <v/>
      </c>
      <c r="AQ6" s="119" t="s">
        <v>0</v>
      </c>
    </row>
    <row r="7" spans="1:43" ht="45" x14ac:dyDescent="0.25">
      <c r="B7" s="15" t="s">
        <v>20</v>
      </c>
      <c r="C7" s="15" t="s">
        <v>175</v>
      </c>
      <c r="D7" s="127" t="s">
        <v>246</v>
      </c>
      <c r="E7" s="18" t="s">
        <v>4</v>
      </c>
      <c r="F7" s="116" t="s">
        <v>247</v>
      </c>
      <c r="G7" s="127" t="s">
        <v>248</v>
      </c>
      <c r="H7" s="18" t="s">
        <v>5</v>
      </c>
      <c r="I7" s="116" t="s">
        <v>249</v>
      </c>
      <c r="J7" s="127" t="s">
        <v>250</v>
      </c>
      <c r="K7" s="18" t="s">
        <v>6</v>
      </c>
      <c r="L7" s="116" t="s">
        <v>251</v>
      </c>
      <c r="M7" s="127" t="s">
        <v>252</v>
      </c>
      <c r="N7" s="18" t="s">
        <v>7</v>
      </c>
      <c r="O7" s="116" t="s">
        <v>253</v>
      </c>
      <c r="P7" s="129" t="s">
        <v>254</v>
      </c>
      <c r="Q7" s="27" t="s">
        <v>11</v>
      </c>
      <c r="R7" s="130" t="s">
        <v>255</v>
      </c>
      <c r="S7" s="129" t="s">
        <v>256</v>
      </c>
      <c r="T7" s="27" t="s">
        <v>12</v>
      </c>
      <c r="U7" s="130" t="s">
        <v>257</v>
      </c>
      <c r="V7" s="129" t="s">
        <v>270</v>
      </c>
      <c r="W7" s="27" t="s">
        <v>23</v>
      </c>
      <c r="X7" s="130" t="s">
        <v>271</v>
      </c>
      <c r="Y7" s="129" t="s">
        <v>272</v>
      </c>
      <c r="Z7" s="27" t="s">
        <v>62</v>
      </c>
      <c r="AA7" s="130" t="s">
        <v>273</v>
      </c>
      <c r="AB7" s="129" t="s">
        <v>274</v>
      </c>
      <c r="AC7" s="27" t="s">
        <v>76</v>
      </c>
      <c r="AD7" s="130" t="s">
        <v>275</v>
      </c>
      <c r="AE7" s="129" t="s">
        <v>258</v>
      </c>
      <c r="AF7" s="27" t="s">
        <v>243</v>
      </c>
      <c r="AG7" s="130" t="s">
        <v>259</v>
      </c>
      <c r="AH7" s="128" t="s">
        <v>260</v>
      </c>
      <c r="AI7" s="129" t="s">
        <v>261</v>
      </c>
      <c r="AJ7" s="27" t="s">
        <v>244</v>
      </c>
      <c r="AK7" s="130" t="s">
        <v>262</v>
      </c>
      <c r="AL7" s="129" t="s">
        <v>263</v>
      </c>
      <c r="AM7" s="27" t="s">
        <v>245</v>
      </c>
      <c r="AN7" s="130" t="s">
        <v>264</v>
      </c>
      <c r="AO7" s="129" t="s">
        <v>265</v>
      </c>
      <c r="AP7" s="27" t="s">
        <v>266</v>
      </c>
      <c r="AQ7" s="130" t="s">
        <v>267</v>
      </c>
    </row>
    <row r="8" spans="1:43" x14ac:dyDescent="0.25">
      <c r="B8" s="9">
        <v>1</v>
      </c>
      <c r="C8" s="10" t="s">
        <v>177</v>
      </c>
      <c r="D8" s="148"/>
      <c r="E8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8" s="135">
        <f>SEARCH(".",Tbl_BONUS_03_TextFunctions_01[[#This Row],[PO Code]])</f>
        <v>3</v>
      </c>
      <c r="G8" s="148"/>
      <c r="H8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8" s="135">
        <f>SEARCH(".",Tbl_BONUS_03_TextFunctions_01[[#This Row],[PO Code]],Tbl_BONUS_03_TextFunctions_01[[#This Row],[Position of 1st "." (period) in PO Code]]+1)</f>
        <v>3</v>
      </c>
      <c r="J8" s="149"/>
      <c r="K8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8" s="135">
        <f>SEARCH(".",Tbl_BONUS_03_TextFunctions_01[[#This Row],[PO Code]],Tbl_BONUS_03_TextFunctions_01[[#This Row],[Position of 2nd "." (period) in PO Code]]+1)</f>
        <v>3</v>
      </c>
      <c r="M8" s="149"/>
      <c r="N8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8" s="135" t="e">
        <f>LEFT(Tbl_BONUS_03_TextFunctions_01[[#This Row],[PO Code]],Tbl_BONUS_03_TextFunctions_01[[#This Row],[Position of 1st "." (period) in PO Code]]-1)</f>
        <v>#VALUE!</v>
      </c>
      <c r="P8" s="149"/>
      <c r="Q8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8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8" s="149"/>
      <c r="T8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8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8" s="149"/>
      <c r="W8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8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8" s="149"/>
      <c r="Z8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8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8" s="149"/>
      <c r="AC8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8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8" s="149"/>
      <c r="AF8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8" s="135" t="str">
        <f>SUBSTITUTE(Tbl_BONUS_03_TextFunctions_01[[#This Row],[PO Code]],".","_")</f>
        <v>AC_LV_PASL_MCCL</v>
      </c>
      <c r="AH8" s="153" t="s">
        <v>282</v>
      </c>
      <c r="AI8" s="149"/>
      <c r="AJ8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8" s="135" t="str">
        <f>LOWER(Tbl_BONUS_03_TextFunctions_01[[#This Row],[Vendor Messy Casing]])</f>
        <v>jig is up</v>
      </c>
      <c r="AL8" s="149"/>
      <c r="AM8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8" s="135" t="str">
        <f>UPPER(Tbl_BONUS_03_TextFunctions_01[[#This Row],[Vendor Messy Casing]])</f>
        <v>JIG IS UP</v>
      </c>
      <c r="AO8" s="149"/>
      <c r="AP8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8" s="135" t="str">
        <f>PROPER(Tbl_BONUS_03_TextFunctions_01[[#This Row],[Vendor Messy Casing]])</f>
        <v>Jig Is Up</v>
      </c>
    </row>
    <row r="9" spans="1:43" x14ac:dyDescent="0.25">
      <c r="B9" s="9">
        <v>2</v>
      </c>
      <c r="C9" s="10" t="s">
        <v>178</v>
      </c>
      <c r="D9" s="149"/>
      <c r="E9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9" s="135">
        <f>SEARCH(".",Tbl_BONUS_03_TextFunctions_01[[#This Row],[PO Code]])</f>
        <v>3</v>
      </c>
      <c r="G9" s="149"/>
      <c r="H9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9" s="135">
        <f>SEARCH(".",Tbl_BONUS_03_TextFunctions_01[[#This Row],[PO Code]],Tbl_BONUS_03_TextFunctions_01[[#This Row],[Position of 1st "." (period) in PO Code]]+1)</f>
        <v>3</v>
      </c>
      <c r="J9" s="149"/>
      <c r="K9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9" s="135">
        <f>SEARCH(".",Tbl_BONUS_03_TextFunctions_01[[#This Row],[PO Code]],Tbl_BONUS_03_TextFunctions_01[[#This Row],[Position of 2nd "." (period) in PO Code]]+1)</f>
        <v>3</v>
      </c>
      <c r="M9" s="149"/>
      <c r="N9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9" s="135" t="e">
        <f>LEFT(Tbl_BONUS_03_TextFunctions_01[[#This Row],[PO Code]],Tbl_BONUS_03_TextFunctions_01[[#This Row],[Position of 1st "." (period) in PO Code]]-1)</f>
        <v>#VALUE!</v>
      </c>
      <c r="P9" s="149"/>
      <c r="Q9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9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9" s="149"/>
      <c r="T9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9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9" s="149"/>
      <c r="W9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9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9" s="149"/>
      <c r="Z9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9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9" s="149"/>
      <c r="AC9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9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9" s="149"/>
      <c r="AF9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9" s="135" t="str">
        <f>SUBSTITUTE(Tbl_BONUS_03_TextFunctions_01[[#This Row],[PO Code]],".","_")</f>
        <v>HB_CH_CMOS_QULA_ME</v>
      </c>
      <c r="AH9" s="153" t="s">
        <v>283</v>
      </c>
      <c r="AI9" s="149"/>
      <c r="AJ9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9" s="135" t="str">
        <f>LOWER(Tbl_BONUS_03_TextFunctions_01[[#This Row],[Vendor Messy Casing]])</f>
        <v>let her rip</v>
      </c>
      <c r="AL9" s="149"/>
      <c r="AM9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9" s="135" t="str">
        <f>UPPER(Tbl_BONUS_03_TextFunctions_01[[#This Row],[Vendor Messy Casing]])</f>
        <v>LET HER RIP</v>
      </c>
      <c r="AO9" s="149"/>
      <c r="AP9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9" s="135" t="str">
        <f>PROPER(Tbl_BONUS_03_TextFunctions_01[[#This Row],[Vendor Messy Casing]])</f>
        <v>Let Her Rip</v>
      </c>
    </row>
    <row r="10" spans="1:43" x14ac:dyDescent="0.25">
      <c r="B10" s="9">
        <v>3</v>
      </c>
      <c r="C10" s="10" t="s">
        <v>179</v>
      </c>
      <c r="D10" s="149"/>
      <c r="E10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0" s="135">
        <f>SEARCH(".",Tbl_BONUS_03_TextFunctions_01[[#This Row],[PO Code]])</f>
        <v>3</v>
      </c>
      <c r="G10" s="149"/>
      <c r="H10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0" s="135">
        <f>SEARCH(".",Tbl_BONUS_03_TextFunctions_01[[#This Row],[PO Code]],Tbl_BONUS_03_TextFunctions_01[[#This Row],[Position of 1st "." (period) in PO Code]]+1)</f>
        <v>3</v>
      </c>
      <c r="J10" s="149"/>
      <c r="K10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0" s="135">
        <f>SEARCH(".",Tbl_BONUS_03_TextFunctions_01[[#This Row],[PO Code]],Tbl_BONUS_03_TextFunctions_01[[#This Row],[Position of 2nd "." (period) in PO Code]]+1)</f>
        <v>3</v>
      </c>
      <c r="M10" s="149"/>
      <c r="N10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0" s="135" t="e">
        <f>LEFT(Tbl_BONUS_03_TextFunctions_01[[#This Row],[PO Code]],Tbl_BONUS_03_TextFunctions_01[[#This Row],[Position of 1st "." (period) in PO Code]]-1)</f>
        <v>#VALUE!</v>
      </c>
      <c r="P10" s="149"/>
      <c r="Q10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0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0" s="149"/>
      <c r="T10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0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0" s="149"/>
      <c r="W10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0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0" s="149"/>
      <c r="Z10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0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0" s="149"/>
      <c r="AC10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0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0" s="149"/>
      <c r="AF10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0" s="135" t="str">
        <f>SUBSTITUTE(Tbl_BONUS_03_TextFunctions_01[[#This Row],[PO Code]],".","_")</f>
        <v>AC_LV_SIW_DR</v>
      </c>
      <c r="AH10" s="153" t="s">
        <v>284</v>
      </c>
      <c r="AI10" s="149"/>
      <c r="AJ10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0" s="135" t="str">
        <f>LOWER(Tbl_BONUS_03_TextFunctions_01[[#This Row],[Vendor Messy Casing]])</f>
        <v>a lone wolf</v>
      </c>
      <c r="AL10" s="149"/>
      <c r="AM10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0" s="135" t="str">
        <f>UPPER(Tbl_BONUS_03_TextFunctions_01[[#This Row],[Vendor Messy Casing]])</f>
        <v>A LONE WOLF</v>
      </c>
      <c r="AO10" s="149"/>
      <c r="AP10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0" s="135" t="str">
        <f>PROPER(Tbl_BONUS_03_TextFunctions_01[[#This Row],[Vendor Messy Casing]])</f>
        <v>A Lone Wolf</v>
      </c>
    </row>
    <row r="11" spans="1:43" x14ac:dyDescent="0.25">
      <c r="B11" s="9">
        <v>4</v>
      </c>
      <c r="C11" s="10" t="s">
        <v>180</v>
      </c>
      <c r="D11" s="149"/>
      <c r="E11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1" s="135">
        <f>SEARCH(".",Tbl_BONUS_03_TextFunctions_01[[#This Row],[PO Code]])</f>
        <v>3</v>
      </c>
      <c r="G11" s="149"/>
      <c r="H11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1" s="135">
        <f>SEARCH(".",Tbl_BONUS_03_TextFunctions_01[[#This Row],[PO Code]],Tbl_BONUS_03_TextFunctions_01[[#This Row],[Position of 1st "." (period) in PO Code]]+1)</f>
        <v>3</v>
      </c>
      <c r="J11" s="149"/>
      <c r="K11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1" s="135">
        <f>SEARCH(".",Tbl_BONUS_03_TextFunctions_01[[#This Row],[PO Code]],Tbl_BONUS_03_TextFunctions_01[[#This Row],[Position of 2nd "." (period) in PO Code]]+1)</f>
        <v>3</v>
      </c>
      <c r="M11" s="149"/>
      <c r="N11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1" s="135" t="e">
        <f>LEFT(Tbl_BONUS_03_TextFunctions_01[[#This Row],[PO Code]],Tbl_BONUS_03_TextFunctions_01[[#This Row],[Position of 1st "." (period) in PO Code]]-1)</f>
        <v>#VALUE!</v>
      </c>
      <c r="P11" s="149"/>
      <c r="Q11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1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1" s="149"/>
      <c r="T11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1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1" s="149"/>
      <c r="W11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1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1" s="149"/>
      <c r="Z11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1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1" s="149"/>
      <c r="AC11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1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1" s="149"/>
      <c r="AF11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1" s="135" t="str">
        <f>SUBSTITUTE(Tbl_BONUS_03_TextFunctions_01[[#This Row],[PO Code]],".","_")</f>
        <v>AC_LV_SAW_LEMC</v>
      </c>
      <c r="AH11" s="153" t="s">
        <v>285</v>
      </c>
      <c r="AI11" s="149"/>
      <c r="AJ11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1" s="135" t="str">
        <f>LOWER(Tbl_BONUS_03_TextFunctions_01[[#This Row],[Vendor Messy Casing]])</f>
        <v>a guinea pig</v>
      </c>
      <c r="AL11" s="149"/>
      <c r="AM11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1" s="135" t="str">
        <f>UPPER(Tbl_BONUS_03_TextFunctions_01[[#This Row],[Vendor Messy Casing]])</f>
        <v>A GUINEA PIG</v>
      </c>
      <c r="AO11" s="149"/>
      <c r="AP11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1" s="135" t="str">
        <f>PROPER(Tbl_BONUS_03_TextFunctions_01[[#This Row],[Vendor Messy Casing]])</f>
        <v>A Guinea Pig</v>
      </c>
    </row>
    <row r="12" spans="1:43" x14ac:dyDescent="0.25">
      <c r="B12" s="9">
        <v>5</v>
      </c>
      <c r="C12" s="10" t="s">
        <v>181</v>
      </c>
      <c r="D12" s="149"/>
      <c r="E12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2" s="135">
        <f>SEARCH(".",Tbl_BONUS_03_TextFunctions_01[[#This Row],[PO Code]])</f>
        <v>3</v>
      </c>
      <c r="G12" s="149"/>
      <c r="H12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2" s="135">
        <f>SEARCH(".",Tbl_BONUS_03_TextFunctions_01[[#This Row],[PO Code]],Tbl_BONUS_03_TextFunctions_01[[#This Row],[Position of 1st "." (period) in PO Code]]+1)</f>
        <v>3</v>
      </c>
      <c r="J12" s="149"/>
      <c r="K12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2" s="135">
        <f>SEARCH(".",Tbl_BONUS_03_TextFunctions_01[[#This Row],[PO Code]],Tbl_BONUS_03_TextFunctions_01[[#This Row],[Position of 2nd "." (period) in PO Code]]+1)</f>
        <v>3</v>
      </c>
      <c r="M12" s="149"/>
      <c r="N12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2" s="135" t="e">
        <f>LEFT(Tbl_BONUS_03_TextFunctions_01[[#This Row],[PO Code]],Tbl_BONUS_03_TextFunctions_01[[#This Row],[Position of 1st "." (period) in PO Code]]-1)</f>
        <v>#VALUE!</v>
      </c>
      <c r="P12" s="149"/>
      <c r="Q12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2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2" s="149"/>
      <c r="T12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2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2" s="149"/>
      <c r="W12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2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2" s="149"/>
      <c r="Z12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2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2" s="149"/>
      <c r="AC12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2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2" s="149"/>
      <c r="AF12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2" s="135" t="str">
        <f>SUBSTITUTE(Tbl_BONUS_03_TextFunctions_01[[#This Row],[PO Code]],".","_")</f>
        <v>HB_GV_DUET_LE</v>
      </c>
      <c r="AH12" s="153" t="s">
        <v>286</v>
      </c>
      <c r="AI12" s="149"/>
      <c r="AJ12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2" s="135" t="str">
        <f>LOWER(Tbl_BONUS_03_TextFunctions_01[[#This Row],[Vendor Messy Casing]])</f>
        <v>drive me nuts</v>
      </c>
      <c r="AL12" s="149"/>
      <c r="AM12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2" s="135" t="str">
        <f>UPPER(Tbl_BONUS_03_TextFunctions_01[[#This Row],[Vendor Messy Casing]])</f>
        <v>DRIVE ME NUTS</v>
      </c>
      <c r="AO12" s="149"/>
      <c r="AP12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2" s="135" t="str">
        <f>PROPER(Tbl_BONUS_03_TextFunctions_01[[#This Row],[Vendor Messy Casing]])</f>
        <v>Drive Me Nuts</v>
      </c>
    </row>
    <row r="13" spans="1:43" x14ac:dyDescent="0.25">
      <c r="B13" s="9">
        <v>6</v>
      </c>
      <c r="C13" s="10" t="s">
        <v>182</v>
      </c>
      <c r="D13" s="149"/>
      <c r="E13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3" s="135">
        <f>SEARCH(".",Tbl_BONUS_03_TextFunctions_01[[#This Row],[PO Code]])</f>
        <v>3</v>
      </c>
      <c r="G13" s="149"/>
      <c r="H13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3" s="135">
        <f>SEARCH(".",Tbl_BONUS_03_TextFunctions_01[[#This Row],[PO Code]],Tbl_BONUS_03_TextFunctions_01[[#This Row],[Position of 1st "." (period) in PO Code]]+1)</f>
        <v>3</v>
      </c>
      <c r="J13" s="149"/>
      <c r="K13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3" s="135">
        <f>SEARCH(".",Tbl_BONUS_03_TextFunctions_01[[#This Row],[PO Code]],Tbl_BONUS_03_TextFunctions_01[[#This Row],[Position of 2nd "." (period) in PO Code]]+1)</f>
        <v>3</v>
      </c>
      <c r="M13" s="149"/>
      <c r="N13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3" s="135" t="e">
        <f>LEFT(Tbl_BONUS_03_TextFunctions_01[[#This Row],[PO Code]],Tbl_BONUS_03_TextFunctions_01[[#This Row],[Position of 1st "." (period) in PO Code]]-1)</f>
        <v>#VALUE!</v>
      </c>
      <c r="P13" s="149"/>
      <c r="Q13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3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3" s="149"/>
      <c r="T13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3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3" s="149"/>
      <c r="W13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3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3" s="149"/>
      <c r="Z13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3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3" s="149"/>
      <c r="AC13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3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3" s="149"/>
      <c r="AF13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3" s="135" t="str">
        <f>SUBSTITUTE(Tbl_BONUS_03_TextFunctions_01[[#This Row],[PO Code]],".","_")</f>
        <v>HB_SL_CMCW_MCL_SM</v>
      </c>
      <c r="AH13" s="153" t="s">
        <v>287</v>
      </c>
      <c r="AI13" s="149"/>
      <c r="AJ13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3" s="135" t="str">
        <f>LOWER(Tbl_BONUS_03_TextFunctions_01[[#This Row],[Vendor Messy Casing]])</f>
        <v>back to square one</v>
      </c>
      <c r="AL13" s="149"/>
      <c r="AM13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3" s="135" t="str">
        <f>UPPER(Tbl_BONUS_03_TextFunctions_01[[#This Row],[Vendor Messy Casing]])</f>
        <v>BACK TO SQUARE ONE</v>
      </c>
      <c r="AO13" s="149"/>
      <c r="AP13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3" s="135" t="str">
        <f>PROPER(Tbl_BONUS_03_TextFunctions_01[[#This Row],[Vendor Messy Casing]])</f>
        <v>Back To Square One</v>
      </c>
    </row>
    <row r="14" spans="1:43" x14ac:dyDescent="0.25">
      <c r="B14" s="9">
        <v>7</v>
      </c>
      <c r="C14" s="10" t="s">
        <v>183</v>
      </c>
      <c r="D14" s="149"/>
      <c r="E14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4" s="135">
        <f>SEARCH(".",Tbl_BONUS_03_TextFunctions_01[[#This Row],[PO Code]])</f>
        <v>3</v>
      </c>
      <c r="G14" s="149"/>
      <c r="H14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4" s="135">
        <f>SEARCH(".",Tbl_BONUS_03_TextFunctions_01[[#This Row],[PO Code]],Tbl_BONUS_03_TextFunctions_01[[#This Row],[Position of 1st "." (period) in PO Code]]+1)</f>
        <v>3</v>
      </c>
      <c r="J14" s="149"/>
      <c r="K14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4" s="135">
        <f>SEARCH(".",Tbl_BONUS_03_TextFunctions_01[[#This Row],[PO Code]],Tbl_BONUS_03_TextFunctions_01[[#This Row],[Position of 2nd "." (period) in PO Code]]+1)</f>
        <v>3</v>
      </c>
      <c r="M14" s="149"/>
      <c r="N14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4" s="135" t="e">
        <f>LEFT(Tbl_BONUS_03_TextFunctions_01[[#This Row],[PO Code]],Tbl_BONUS_03_TextFunctions_01[[#This Row],[Position of 1st "." (period) in PO Code]]-1)</f>
        <v>#VALUE!</v>
      </c>
      <c r="P14" s="149"/>
      <c r="Q14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4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4" s="149"/>
      <c r="T14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4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4" s="149"/>
      <c r="W14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4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4" s="149"/>
      <c r="Z14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4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4" s="149"/>
      <c r="AC14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4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4" s="149"/>
      <c r="AF14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4" s="135" t="str">
        <f>SUBSTITUTE(Tbl_BONUS_03_TextFunctions_01[[#This Row],[PO Code]],".","_")</f>
        <v>HB_CH_DSHFT_QLC_LG</v>
      </c>
      <c r="AH14" s="153" t="s">
        <v>288</v>
      </c>
      <c r="AI14" s="149"/>
      <c r="AJ14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4" s="135" t="str">
        <f>LOWER(Tbl_BONUS_03_TextFunctions_01[[#This Row],[Vendor Messy Casing]])</f>
        <v>tough it out</v>
      </c>
      <c r="AL14" s="149"/>
      <c r="AM14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4" s="135" t="str">
        <f>UPPER(Tbl_BONUS_03_TextFunctions_01[[#This Row],[Vendor Messy Casing]])</f>
        <v>TOUGH IT OUT</v>
      </c>
      <c r="AO14" s="149"/>
      <c r="AP14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4" s="135" t="str">
        <f>PROPER(Tbl_BONUS_03_TextFunctions_01[[#This Row],[Vendor Messy Casing]])</f>
        <v>Tough It Out</v>
      </c>
    </row>
    <row r="15" spans="1:43" x14ac:dyDescent="0.25">
      <c r="B15" s="9">
        <v>8</v>
      </c>
      <c r="C15" s="10" t="s">
        <v>184</v>
      </c>
      <c r="D15" s="149"/>
      <c r="E15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5" s="135">
        <f>SEARCH(".",Tbl_BONUS_03_TextFunctions_01[[#This Row],[PO Code]])</f>
        <v>3</v>
      </c>
      <c r="G15" s="149"/>
      <c r="H15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5" s="135">
        <f>SEARCH(".",Tbl_BONUS_03_TextFunctions_01[[#This Row],[PO Code]],Tbl_BONUS_03_TextFunctions_01[[#This Row],[Position of 1st "." (period) in PO Code]]+1)</f>
        <v>3</v>
      </c>
      <c r="J15" s="149"/>
      <c r="K15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5" s="135">
        <f>SEARCH(".",Tbl_BONUS_03_TextFunctions_01[[#This Row],[PO Code]],Tbl_BONUS_03_TextFunctions_01[[#This Row],[Position of 2nd "." (period) in PO Code]]+1)</f>
        <v>3</v>
      </c>
      <c r="M15" s="149"/>
      <c r="N15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5" s="135" t="e">
        <f>LEFT(Tbl_BONUS_03_TextFunctions_01[[#This Row],[PO Code]],Tbl_BONUS_03_TextFunctions_01[[#This Row],[Position of 1st "." (period) in PO Code]]-1)</f>
        <v>#VALUE!</v>
      </c>
      <c r="P15" s="149"/>
      <c r="Q15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5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5" s="149"/>
      <c r="T15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5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5" s="149"/>
      <c r="W15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5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5" s="149"/>
      <c r="Z15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5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5" s="149"/>
      <c r="AC15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5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5" s="149"/>
      <c r="AF15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5" s="135" t="str">
        <f>SUBSTITUTE(Tbl_BONUS_03_TextFunctions_01[[#This Row],[PO Code]],".","_")</f>
        <v>HB_GY_SL_COAC_GM</v>
      </c>
      <c r="AH15" s="153" t="s">
        <v>289</v>
      </c>
      <c r="AI15" s="149"/>
      <c r="AJ15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5" s="135" t="str">
        <f>LOWER(Tbl_BONUS_03_TextFunctions_01[[#This Row],[Vendor Messy Casing]])</f>
        <v>quick on the draw</v>
      </c>
      <c r="AL15" s="149"/>
      <c r="AM15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5" s="135" t="str">
        <f>UPPER(Tbl_BONUS_03_TextFunctions_01[[#This Row],[Vendor Messy Casing]])</f>
        <v>QUICK ON THE DRAW</v>
      </c>
      <c r="AO15" s="149"/>
      <c r="AP15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5" s="135" t="str">
        <f>PROPER(Tbl_BONUS_03_TextFunctions_01[[#This Row],[Vendor Messy Casing]])</f>
        <v>Quick On The Draw</v>
      </c>
    </row>
    <row r="16" spans="1:43" x14ac:dyDescent="0.25">
      <c r="B16" s="9">
        <v>9</v>
      </c>
      <c r="C16" s="10" t="s">
        <v>185</v>
      </c>
      <c r="D16" s="149"/>
      <c r="E16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6" s="135">
        <f>SEARCH(".",Tbl_BONUS_03_TextFunctions_01[[#This Row],[PO Code]])</f>
        <v>3</v>
      </c>
      <c r="G16" s="149"/>
      <c r="H16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6" s="135">
        <f>SEARCH(".",Tbl_BONUS_03_TextFunctions_01[[#This Row],[PO Code]],Tbl_BONUS_03_TextFunctions_01[[#This Row],[Position of 1st "." (period) in PO Code]]+1)</f>
        <v>3</v>
      </c>
      <c r="J16" s="149"/>
      <c r="K16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6" s="135">
        <f>SEARCH(".",Tbl_BONUS_03_TextFunctions_01[[#This Row],[PO Code]],Tbl_BONUS_03_TextFunctions_01[[#This Row],[Position of 2nd "." (period) in PO Code]]+1)</f>
        <v>3</v>
      </c>
      <c r="M16" s="149"/>
      <c r="N16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6" s="135" t="e">
        <f>LEFT(Tbl_BONUS_03_TextFunctions_01[[#This Row],[PO Code]],Tbl_BONUS_03_TextFunctions_01[[#This Row],[Position of 1st "." (period) in PO Code]]-1)</f>
        <v>#VALUE!</v>
      </c>
      <c r="P16" s="149"/>
      <c r="Q16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6" s="135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6" s="149"/>
      <c r="T16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6" s="135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6" s="149"/>
      <c r="W16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6" s="135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6" s="149"/>
      <c r="Z16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6" s="135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6" s="149"/>
      <c r="AC16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6" s="135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6" s="149"/>
      <c r="AF16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6" s="135" t="str">
        <f>SUBSTITUTE(Tbl_BONUS_03_TextFunctions_01[[#This Row],[PO Code]],".","_")</f>
        <v>HB_MM_LMCB_MAD_SM</v>
      </c>
      <c r="AH16" s="153" t="s">
        <v>283</v>
      </c>
      <c r="AI16" s="149"/>
      <c r="AJ16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6" s="135" t="str">
        <f>LOWER(Tbl_BONUS_03_TextFunctions_01[[#This Row],[Vendor Messy Casing]])</f>
        <v>let her rip</v>
      </c>
      <c r="AL16" s="149"/>
      <c r="AM16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6" s="135" t="str">
        <f>UPPER(Tbl_BONUS_03_TextFunctions_01[[#This Row],[Vendor Messy Casing]])</f>
        <v>LET HER RIP</v>
      </c>
      <c r="AO16" s="149"/>
      <c r="AP16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6" s="135" t="str">
        <f>PROPER(Tbl_BONUS_03_TextFunctions_01[[#This Row],[Vendor Messy Casing]])</f>
        <v>Let Her Rip</v>
      </c>
    </row>
    <row r="17" spans="2:43" x14ac:dyDescent="0.25">
      <c r="B17" s="9">
        <v>10</v>
      </c>
      <c r="C17" s="10" t="s">
        <v>186</v>
      </c>
      <c r="D17" s="150"/>
      <c r="E17" s="19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7" s="142">
        <f>SEARCH(".",Tbl_BONUS_03_TextFunctions_01[[#This Row],[PO Code]])</f>
        <v>3</v>
      </c>
      <c r="G17" s="150"/>
      <c r="H17" s="19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7" s="142">
        <f>SEARCH(".",Tbl_BONUS_03_TextFunctions_01[[#This Row],[PO Code]],Tbl_BONUS_03_TextFunctions_01[[#This Row],[Position of 1st "." (period) in PO Code]]+1)</f>
        <v>3</v>
      </c>
      <c r="J17" s="150"/>
      <c r="K17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7" s="142">
        <f>SEARCH(".",Tbl_BONUS_03_TextFunctions_01[[#This Row],[PO Code]],Tbl_BONUS_03_TextFunctions_01[[#This Row],[Position of 2nd "." (period) in PO Code]]+1)</f>
        <v>3</v>
      </c>
      <c r="M17" s="150"/>
      <c r="N17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7" s="142" t="e">
        <f>LEFT(Tbl_BONUS_03_TextFunctions_01[[#This Row],[PO Code]],Tbl_BONUS_03_TextFunctions_01[[#This Row],[Position of 1st "." (period) in PO Code]]-1)</f>
        <v>#VALUE!</v>
      </c>
      <c r="P17" s="150"/>
      <c r="Q17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7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7" s="150"/>
      <c r="T17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7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7" s="150"/>
      <c r="W17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7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7" s="150"/>
      <c r="Z17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7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7" s="150"/>
      <c r="AC17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7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7" s="150"/>
      <c r="AF17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7" s="142" t="str">
        <f>SUBSTITUTE(Tbl_BONUS_03_TextFunctions_01[[#This Row],[PO Code]],".","_")</f>
        <v>HB_SL_CLMCB_CREL_SM</v>
      </c>
      <c r="AH17" s="154" t="s">
        <v>283</v>
      </c>
      <c r="AI17" s="150"/>
      <c r="AJ17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7" s="142" t="str">
        <f>LOWER(Tbl_BONUS_03_TextFunctions_01[[#This Row],[Vendor Messy Casing]])</f>
        <v>let her rip</v>
      </c>
      <c r="AL17" s="150"/>
      <c r="AM17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7" s="142" t="str">
        <f>UPPER(Tbl_BONUS_03_TextFunctions_01[[#This Row],[Vendor Messy Casing]])</f>
        <v>LET HER RIP</v>
      </c>
      <c r="AO17" s="150"/>
      <c r="AP17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7" s="142" t="str">
        <f>PROPER(Tbl_BONUS_03_TextFunctions_01[[#This Row],[Vendor Messy Casing]])</f>
        <v>Let Her Rip</v>
      </c>
    </row>
    <row r="18" spans="2:43" x14ac:dyDescent="0.25">
      <c r="B18" s="9">
        <v>11</v>
      </c>
      <c r="C18" s="10" t="s">
        <v>187</v>
      </c>
      <c r="D18" s="150"/>
      <c r="E18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8" s="151">
        <f>SEARCH(".",Tbl_BONUS_03_TextFunctions_01[[#This Row],[PO Code]])</f>
        <v>3</v>
      </c>
      <c r="G18" s="152"/>
      <c r="H18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8" s="151">
        <f>SEARCH(".",Tbl_BONUS_03_TextFunctions_01[[#This Row],[PO Code]],Tbl_BONUS_03_TextFunctions_01[[#This Row],[Position of 1st "." (period) in PO Code]]+1)</f>
        <v>3</v>
      </c>
      <c r="J18" s="150"/>
      <c r="K18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8" s="142">
        <f>SEARCH(".",Tbl_BONUS_03_TextFunctions_01[[#This Row],[PO Code]],Tbl_BONUS_03_TextFunctions_01[[#This Row],[Position of 2nd "." (period) in PO Code]]+1)</f>
        <v>3</v>
      </c>
      <c r="M18" s="150"/>
      <c r="N18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8" s="142" t="e">
        <f>LEFT(Tbl_BONUS_03_TextFunctions_01[[#This Row],[PO Code]],Tbl_BONUS_03_TextFunctions_01[[#This Row],[Position of 1st "." (period) in PO Code]]-1)</f>
        <v>#VALUE!</v>
      </c>
      <c r="P18" s="150"/>
      <c r="Q18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8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8" s="150"/>
      <c r="T18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8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8" s="150"/>
      <c r="W18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8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8" s="150"/>
      <c r="Z18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8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8" s="150"/>
      <c r="AC18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8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8" s="150"/>
      <c r="AF18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8" s="142" t="str">
        <f>SUBSTITUTE(Tbl_BONUS_03_TextFunctions_01[[#This Row],[PO Code]],".","_")</f>
        <v>HB_LV_LICK_MV_PM</v>
      </c>
      <c r="AH18" s="154" t="s">
        <v>287</v>
      </c>
      <c r="AI18" s="150"/>
      <c r="AJ18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8" s="142" t="str">
        <f>LOWER(Tbl_BONUS_03_TextFunctions_01[[#This Row],[Vendor Messy Casing]])</f>
        <v>back to square one</v>
      </c>
      <c r="AL18" s="150"/>
      <c r="AM18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8" s="142" t="str">
        <f>UPPER(Tbl_BONUS_03_TextFunctions_01[[#This Row],[Vendor Messy Casing]])</f>
        <v>BACK TO SQUARE ONE</v>
      </c>
      <c r="AO18" s="150"/>
      <c r="AP18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8" s="142" t="str">
        <f>PROPER(Tbl_BONUS_03_TextFunctions_01[[#This Row],[Vendor Messy Casing]])</f>
        <v>Back To Square One</v>
      </c>
    </row>
    <row r="19" spans="2:43" x14ac:dyDescent="0.25">
      <c r="B19" s="9">
        <v>12</v>
      </c>
      <c r="C19" s="10" t="s">
        <v>188</v>
      </c>
      <c r="D19" s="150"/>
      <c r="E19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19" s="151">
        <f>SEARCH(".",Tbl_BONUS_03_TextFunctions_01[[#This Row],[PO Code]])</f>
        <v>3</v>
      </c>
      <c r="G19" s="152"/>
      <c r="H19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19" s="151">
        <f>SEARCH(".",Tbl_BONUS_03_TextFunctions_01[[#This Row],[PO Code]],Tbl_BONUS_03_TextFunctions_01[[#This Row],[Position of 1st "." (period) in PO Code]]+1)</f>
        <v>3</v>
      </c>
      <c r="J19" s="150"/>
      <c r="K19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19" s="142">
        <f>SEARCH(".",Tbl_BONUS_03_TextFunctions_01[[#This Row],[PO Code]],Tbl_BONUS_03_TextFunctions_01[[#This Row],[Position of 2nd "." (period) in PO Code]]+1)</f>
        <v>3</v>
      </c>
      <c r="M19" s="150"/>
      <c r="N19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19" s="142" t="e">
        <f>LEFT(Tbl_BONUS_03_TextFunctions_01[[#This Row],[PO Code]],Tbl_BONUS_03_TextFunctions_01[[#This Row],[Position of 1st "." (period) in PO Code]]-1)</f>
        <v>#VALUE!</v>
      </c>
      <c r="P19" s="150"/>
      <c r="Q19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19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19" s="150"/>
      <c r="T19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19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19" s="150"/>
      <c r="W19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19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19" s="150"/>
      <c r="Z19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19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19" s="150"/>
      <c r="AC19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19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19" s="150"/>
      <c r="AF19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19" s="142" t="str">
        <f>SUBSTITUTE(Tbl_BONUS_03_TextFunctions_01[[#This Row],[PO Code]],".","_")</f>
        <v>HB_GC_DBTH_CBLE_LG</v>
      </c>
      <c r="AH19" s="154" t="s">
        <v>288</v>
      </c>
      <c r="AI19" s="150"/>
      <c r="AJ19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19" s="142" t="str">
        <f>LOWER(Tbl_BONUS_03_TextFunctions_01[[#This Row],[Vendor Messy Casing]])</f>
        <v>tough it out</v>
      </c>
      <c r="AL19" s="150"/>
      <c r="AM19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19" s="142" t="str">
        <f>UPPER(Tbl_BONUS_03_TextFunctions_01[[#This Row],[Vendor Messy Casing]])</f>
        <v>TOUGH IT OUT</v>
      </c>
      <c r="AO19" s="150"/>
      <c r="AP19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19" s="142" t="str">
        <f>PROPER(Tbl_BONUS_03_TextFunctions_01[[#This Row],[Vendor Messy Casing]])</f>
        <v>Tough It Out</v>
      </c>
    </row>
    <row r="20" spans="2:43" x14ac:dyDescent="0.25">
      <c r="B20" s="9">
        <v>13</v>
      </c>
      <c r="C20" s="10" t="s">
        <v>189</v>
      </c>
      <c r="D20" s="150"/>
      <c r="E20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0" s="151">
        <f>SEARCH(".",Tbl_BONUS_03_TextFunctions_01[[#This Row],[PO Code]])</f>
        <v>3</v>
      </c>
      <c r="G20" s="152"/>
      <c r="H20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0" s="151">
        <f>SEARCH(".",Tbl_BONUS_03_TextFunctions_01[[#This Row],[PO Code]],Tbl_BONUS_03_TextFunctions_01[[#This Row],[Position of 1st "." (period) in PO Code]]+1)</f>
        <v>3</v>
      </c>
      <c r="J20" s="150"/>
      <c r="K20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0" s="142">
        <f>SEARCH(".",Tbl_BONUS_03_TextFunctions_01[[#This Row],[PO Code]],Tbl_BONUS_03_TextFunctions_01[[#This Row],[Position of 2nd "." (period) in PO Code]]+1)</f>
        <v>3</v>
      </c>
      <c r="M20" s="150"/>
      <c r="N20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0" s="142" t="e">
        <f>LEFT(Tbl_BONUS_03_TextFunctions_01[[#This Row],[PO Code]],Tbl_BONUS_03_TextFunctions_01[[#This Row],[Position of 1st "." (period) in PO Code]]-1)</f>
        <v>#VALUE!</v>
      </c>
      <c r="P20" s="150"/>
      <c r="Q20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0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0" s="150"/>
      <c r="T20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0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0" s="150"/>
      <c r="W20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0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0" s="150"/>
      <c r="Z20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0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0" s="150"/>
      <c r="AC20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0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0" s="150"/>
      <c r="AF20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0" s="142" t="str">
        <f>SUBSTITUTE(Tbl_BONUS_03_TextFunctions_01[[#This Row],[PO Code]],".","_")</f>
        <v>HB_LV_WEPO_LEMC</v>
      </c>
      <c r="AH20" s="154" t="s">
        <v>287</v>
      </c>
      <c r="AI20" s="150"/>
      <c r="AJ20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0" s="142" t="str">
        <f>LOWER(Tbl_BONUS_03_TextFunctions_01[[#This Row],[Vendor Messy Casing]])</f>
        <v>back to square one</v>
      </c>
      <c r="AL20" s="150"/>
      <c r="AM20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0" s="142" t="str">
        <f>UPPER(Tbl_BONUS_03_TextFunctions_01[[#This Row],[Vendor Messy Casing]])</f>
        <v>BACK TO SQUARE ONE</v>
      </c>
      <c r="AO20" s="150"/>
      <c r="AP20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0" s="142" t="str">
        <f>PROPER(Tbl_BONUS_03_TextFunctions_01[[#This Row],[Vendor Messy Casing]])</f>
        <v>Back To Square One</v>
      </c>
    </row>
    <row r="21" spans="2:43" x14ac:dyDescent="0.25">
      <c r="B21" s="9">
        <v>14</v>
      </c>
      <c r="C21" s="10" t="s">
        <v>190</v>
      </c>
      <c r="D21" s="150"/>
      <c r="E21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1" s="151">
        <f>SEARCH(".",Tbl_BONUS_03_TextFunctions_01[[#This Row],[PO Code]])</f>
        <v>3</v>
      </c>
      <c r="G21" s="152"/>
      <c r="H21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1" s="151">
        <f>SEARCH(".",Tbl_BONUS_03_TextFunctions_01[[#This Row],[PO Code]],Tbl_BONUS_03_TextFunctions_01[[#This Row],[Position of 1st "." (period) in PO Code]]+1)</f>
        <v>3</v>
      </c>
      <c r="J21" s="150"/>
      <c r="K21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1" s="142">
        <f>SEARCH(".",Tbl_BONUS_03_TextFunctions_01[[#This Row],[PO Code]],Tbl_BONUS_03_TextFunctions_01[[#This Row],[Position of 2nd "." (period) in PO Code]]+1)</f>
        <v>3</v>
      </c>
      <c r="M21" s="150"/>
      <c r="N21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1" s="142" t="e">
        <f>LEFT(Tbl_BONUS_03_TextFunctions_01[[#This Row],[PO Code]],Tbl_BONUS_03_TextFunctions_01[[#This Row],[Position of 1st "." (period) in PO Code]]-1)</f>
        <v>#VALUE!</v>
      </c>
      <c r="P21" s="150"/>
      <c r="Q21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1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1" s="150"/>
      <c r="T21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1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1" s="150"/>
      <c r="W21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1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1" s="150"/>
      <c r="Z21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1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1" s="150"/>
      <c r="AC21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1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1" s="150"/>
      <c r="AF21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1" s="142" t="str">
        <f>SUBSTITUTE(Tbl_BONUS_03_TextFunctions_01[[#This Row],[PO Code]],".","_")</f>
        <v>HB_VA_SPFP_QLE_SM</v>
      </c>
      <c r="AH21" s="154" t="s">
        <v>288</v>
      </c>
      <c r="AI21" s="150"/>
      <c r="AJ21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1" s="142" t="str">
        <f>LOWER(Tbl_BONUS_03_TextFunctions_01[[#This Row],[Vendor Messy Casing]])</f>
        <v>tough it out</v>
      </c>
      <c r="AL21" s="150"/>
      <c r="AM21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1" s="142" t="str">
        <f>UPPER(Tbl_BONUS_03_TextFunctions_01[[#This Row],[Vendor Messy Casing]])</f>
        <v>TOUGH IT OUT</v>
      </c>
      <c r="AO21" s="150"/>
      <c r="AP21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1" s="142" t="str">
        <f>PROPER(Tbl_BONUS_03_TextFunctions_01[[#This Row],[Vendor Messy Casing]])</f>
        <v>Tough It Out</v>
      </c>
    </row>
    <row r="22" spans="2:43" x14ac:dyDescent="0.25">
      <c r="B22" s="9">
        <v>15</v>
      </c>
      <c r="C22" s="10" t="s">
        <v>191</v>
      </c>
      <c r="D22" s="150"/>
      <c r="E22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2" s="151">
        <f>SEARCH(".",Tbl_BONUS_03_TextFunctions_01[[#This Row],[PO Code]])</f>
        <v>3</v>
      </c>
      <c r="G22" s="152"/>
      <c r="H22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2" s="151">
        <f>SEARCH(".",Tbl_BONUS_03_TextFunctions_01[[#This Row],[PO Code]],Tbl_BONUS_03_TextFunctions_01[[#This Row],[Position of 1st "." (period) in PO Code]]+1)</f>
        <v>3</v>
      </c>
      <c r="J22" s="150"/>
      <c r="K22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2" s="142">
        <f>SEARCH(".",Tbl_BONUS_03_TextFunctions_01[[#This Row],[PO Code]],Tbl_BONUS_03_TextFunctions_01[[#This Row],[Position of 2nd "." (period) in PO Code]]+1)</f>
        <v>3</v>
      </c>
      <c r="M22" s="150"/>
      <c r="N22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2" s="142" t="e">
        <f>LEFT(Tbl_BONUS_03_TextFunctions_01[[#This Row],[PO Code]],Tbl_BONUS_03_TextFunctions_01[[#This Row],[Position of 1st "." (period) in PO Code]]-1)</f>
        <v>#VALUE!</v>
      </c>
      <c r="P22" s="150"/>
      <c r="Q22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2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2" s="150"/>
      <c r="T22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2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2" s="150"/>
      <c r="W22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2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2" s="150"/>
      <c r="Z22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2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2" s="150"/>
      <c r="AC22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2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2" s="150"/>
      <c r="AF22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2" s="142" t="str">
        <f>SUBSTITUTE(Tbl_BONUS_03_TextFunctions_01[[#This Row],[PO Code]],".","_")</f>
        <v>AC_GC_SCW_LE</v>
      </c>
      <c r="AH22" s="154" t="s">
        <v>285</v>
      </c>
      <c r="AI22" s="150"/>
      <c r="AJ22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2" s="142" t="str">
        <f>LOWER(Tbl_BONUS_03_TextFunctions_01[[#This Row],[Vendor Messy Casing]])</f>
        <v>a guinea pig</v>
      </c>
      <c r="AL22" s="150"/>
      <c r="AM22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2" s="142" t="str">
        <f>UPPER(Tbl_BONUS_03_TextFunctions_01[[#This Row],[Vendor Messy Casing]])</f>
        <v>A GUINEA PIG</v>
      </c>
      <c r="AO22" s="150"/>
      <c r="AP22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2" s="142" t="str">
        <f>PROPER(Tbl_BONUS_03_TextFunctions_01[[#This Row],[Vendor Messy Casing]])</f>
        <v>A Guinea Pig</v>
      </c>
    </row>
    <row r="23" spans="2:43" x14ac:dyDescent="0.25">
      <c r="B23" s="9">
        <v>16</v>
      </c>
      <c r="C23" s="10" t="s">
        <v>192</v>
      </c>
      <c r="D23" s="150"/>
      <c r="E23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3" s="151">
        <f>SEARCH(".",Tbl_BONUS_03_TextFunctions_01[[#This Row],[PO Code]])</f>
        <v>3</v>
      </c>
      <c r="G23" s="152"/>
      <c r="H23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3" s="151">
        <f>SEARCH(".",Tbl_BONUS_03_TextFunctions_01[[#This Row],[PO Code]],Tbl_BONUS_03_TextFunctions_01[[#This Row],[Position of 1st "." (period) in PO Code]]+1)</f>
        <v>3</v>
      </c>
      <c r="J23" s="150"/>
      <c r="K23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3" s="142">
        <f>SEARCH(".",Tbl_BONUS_03_TextFunctions_01[[#This Row],[PO Code]],Tbl_BONUS_03_TextFunctions_01[[#This Row],[Position of 2nd "." (period) in PO Code]]+1)</f>
        <v>3</v>
      </c>
      <c r="M23" s="150"/>
      <c r="N23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3" s="142" t="e">
        <f>LEFT(Tbl_BONUS_03_TextFunctions_01[[#This Row],[PO Code]],Tbl_BONUS_03_TextFunctions_01[[#This Row],[Position of 1st "." (period) in PO Code]]-1)</f>
        <v>#VALUE!</v>
      </c>
      <c r="P23" s="150"/>
      <c r="Q23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3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3" s="150"/>
      <c r="T23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3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3" s="150"/>
      <c r="W23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3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3" s="150"/>
      <c r="Z23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3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3" s="150"/>
      <c r="AC23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3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3" s="150"/>
      <c r="AF23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3" s="142" t="str">
        <f>SUBSTITUTE(Tbl_BONUS_03_TextFunctions_01[[#This Row],[PO Code]],".","_")</f>
        <v>AC_CH_ZAWA_QULA_LO</v>
      </c>
      <c r="AH23" s="154" t="s">
        <v>285</v>
      </c>
      <c r="AI23" s="150"/>
      <c r="AJ23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3" s="142" t="str">
        <f>LOWER(Tbl_BONUS_03_TextFunctions_01[[#This Row],[Vendor Messy Casing]])</f>
        <v>a guinea pig</v>
      </c>
      <c r="AL23" s="150"/>
      <c r="AM23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3" s="142" t="str">
        <f>UPPER(Tbl_BONUS_03_TextFunctions_01[[#This Row],[Vendor Messy Casing]])</f>
        <v>A GUINEA PIG</v>
      </c>
      <c r="AO23" s="150"/>
      <c r="AP23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3" s="142" t="str">
        <f>PROPER(Tbl_BONUS_03_TextFunctions_01[[#This Row],[Vendor Messy Casing]])</f>
        <v>A Guinea Pig</v>
      </c>
    </row>
    <row r="24" spans="2:43" x14ac:dyDescent="0.25">
      <c r="B24" s="9">
        <v>17</v>
      </c>
      <c r="C24" s="10" t="s">
        <v>193</v>
      </c>
      <c r="D24" s="150"/>
      <c r="E24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4" s="151">
        <f>SEARCH(".",Tbl_BONUS_03_TextFunctions_01[[#This Row],[PO Code]])</f>
        <v>3</v>
      </c>
      <c r="G24" s="152"/>
      <c r="H24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4" s="151">
        <f>SEARCH(".",Tbl_BONUS_03_TextFunctions_01[[#This Row],[PO Code]],Tbl_BONUS_03_TextFunctions_01[[#This Row],[Position of 1st "." (period) in PO Code]]+1)</f>
        <v>3</v>
      </c>
      <c r="J24" s="150"/>
      <c r="K24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4" s="142">
        <f>SEARCH(".",Tbl_BONUS_03_TextFunctions_01[[#This Row],[PO Code]],Tbl_BONUS_03_TextFunctions_01[[#This Row],[Position of 2nd "." (period) in PO Code]]+1)</f>
        <v>3</v>
      </c>
      <c r="M24" s="150"/>
      <c r="N24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4" s="142" t="e">
        <f>LEFT(Tbl_BONUS_03_TextFunctions_01[[#This Row],[PO Code]],Tbl_BONUS_03_TextFunctions_01[[#This Row],[Position of 1st "." (period) in PO Code]]-1)</f>
        <v>#VALUE!</v>
      </c>
      <c r="P24" s="150"/>
      <c r="Q24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4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4" s="150"/>
      <c r="T24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4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4" s="150"/>
      <c r="W24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4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4" s="150"/>
      <c r="Z24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4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4" s="150"/>
      <c r="AC24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4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4" s="150"/>
      <c r="AF24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4" s="142" t="str">
        <f>SUBSTITUTE(Tbl_BONUS_03_TextFunctions_01[[#This Row],[PO Code]],".","_")</f>
        <v>AC_CH_LYWA_QULA_LO</v>
      </c>
      <c r="AH24" s="154" t="s">
        <v>285</v>
      </c>
      <c r="AI24" s="150"/>
      <c r="AJ24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4" s="142" t="str">
        <f>LOWER(Tbl_BONUS_03_TextFunctions_01[[#This Row],[Vendor Messy Casing]])</f>
        <v>a guinea pig</v>
      </c>
      <c r="AL24" s="150"/>
      <c r="AM24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4" s="142" t="str">
        <f>UPPER(Tbl_BONUS_03_TextFunctions_01[[#This Row],[Vendor Messy Casing]])</f>
        <v>A GUINEA PIG</v>
      </c>
      <c r="AO24" s="150"/>
      <c r="AP24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4" s="142" t="str">
        <f>PROPER(Tbl_BONUS_03_TextFunctions_01[[#This Row],[Vendor Messy Casing]])</f>
        <v>A Guinea Pig</v>
      </c>
    </row>
    <row r="25" spans="2:43" x14ac:dyDescent="0.25">
      <c r="B25" s="9">
        <v>18</v>
      </c>
      <c r="C25" s="10" t="s">
        <v>194</v>
      </c>
      <c r="D25" s="150"/>
      <c r="E25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5" s="151">
        <f>SEARCH(".",Tbl_BONUS_03_TextFunctions_01[[#This Row],[PO Code]])</f>
        <v>3</v>
      </c>
      <c r="G25" s="152"/>
      <c r="H25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5" s="151">
        <f>SEARCH(".",Tbl_BONUS_03_TextFunctions_01[[#This Row],[PO Code]],Tbl_BONUS_03_TextFunctions_01[[#This Row],[Position of 1st "." (period) in PO Code]]+1)</f>
        <v>3</v>
      </c>
      <c r="J25" s="150"/>
      <c r="K25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5" s="142">
        <f>SEARCH(".",Tbl_BONUS_03_TextFunctions_01[[#This Row],[PO Code]],Tbl_BONUS_03_TextFunctions_01[[#This Row],[Position of 2nd "." (period) in PO Code]]+1)</f>
        <v>3</v>
      </c>
      <c r="M25" s="150"/>
      <c r="N25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5" s="142" t="e">
        <f>LEFT(Tbl_BONUS_03_TextFunctions_01[[#This Row],[PO Code]],Tbl_BONUS_03_TextFunctions_01[[#This Row],[Position of 1st "." (period) in PO Code]]-1)</f>
        <v>#VALUE!</v>
      </c>
      <c r="P25" s="150"/>
      <c r="Q25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5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5" s="150"/>
      <c r="T25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5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5" s="150"/>
      <c r="W25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5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5" s="150"/>
      <c r="Z25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5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5" s="150"/>
      <c r="AC25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5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5" s="150"/>
      <c r="AF25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5" s="142" t="str">
        <f>SUBSTITUTE(Tbl_BONUS_03_TextFunctions_01[[#This Row],[PO Code]],".","_")</f>
        <v>HB_LV_FELP_EL</v>
      </c>
      <c r="AH25" s="154" t="s">
        <v>283</v>
      </c>
      <c r="AI25" s="150"/>
      <c r="AJ25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5" s="142" t="str">
        <f>LOWER(Tbl_BONUS_03_TextFunctions_01[[#This Row],[Vendor Messy Casing]])</f>
        <v>let her rip</v>
      </c>
      <c r="AL25" s="150"/>
      <c r="AM25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5" s="142" t="str">
        <f>UPPER(Tbl_BONUS_03_TextFunctions_01[[#This Row],[Vendor Messy Casing]])</f>
        <v>LET HER RIP</v>
      </c>
      <c r="AO25" s="150"/>
      <c r="AP25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5" s="142" t="str">
        <f>PROPER(Tbl_BONUS_03_TextFunctions_01[[#This Row],[Vendor Messy Casing]])</f>
        <v>Let Her Rip</v>
      </c>
    </row>
    <row r="26" spans="2:43" x14ac:dyDescent="0.25">
      <c r="B26" s="9">
        <v>19</v>
      </c>
      <c r="C26" s="10" t="s">
        <v>195</v>
      </c>
      <c r="D26" s="150"/>
      <c r="E26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6" s="151">
        <f>SEARCH(".",Tbl_BONUS_03_TextFunctions_01[[#This Row],[PO Code]])</f>
        <v>3</v>
      </c>
      <c r="G26" s="152"/>
      <c r="H26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6" s="151">
        <f>SEARCH(".",Tbl_BONUS_03_TextFunctions_01[[#This Row],[PO Code]],Tbl_BONUS_03_TextFunctions_01[[#This Row],[Position of 1st "." (period) in PO Code]]+1)</f>
        <v>3</v>
      </c>
      <c r="J26" s="150"/>
      <c r="K26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6" s="142">
        <f>SEARCH(".",Tbl_BONUS_03_TextFunctions_01[[#This Row],[PO Code]],Tbl_BONUS_03_TextFunctions_01[[#This Row],[Position of 2nd "." (period) in PO Code]]+1)</f>
        <v>3</v>
      </c>
      <c r="M26" s="150"/>
      <c r="N26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6" s="142" t="e">
        <f>LEFT(Tbl_BONUS_03_TextFunctions_01[[#This Row],[PO Code]],Tbl_BONUS_03_TextFunctions_01[[#This Row],[Position of 1st "." (period) in PO Code]]-1)</f>
        <v>#VALUE!</v>
      </c>
      <c r="P26" s="150"/>
      <c r="Q26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6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6" s="150"/>
      <c r="T26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6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6" s="150"/>
      <c r="W26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6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6" s="150"/>
      <c r="Z26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6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6" s="150"/>
      <c r="AC26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6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6" s="150"/>
      <c r="AF26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6" s="142" t="str">
        <f>SUBSTITUTE(Tbl_BONUS_03_TextFunctions_01[[#This Row],[PO Code]],".","_")</f>
        <v>AC_CH_LYWA_QCA</v>
      </c>
      <c r="AH26" s="154" t="s">
        <v>284</v>
      </c>
      <c r="AI26" s="150"/>
      <c r="AJ26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6" s="142" t="str">
        <f>LOWER(Tbl_BONUS_03_TextFunctions_01[[#This Row],[Vendor Messy Casing]])</f>
        <v>a lone wolf</v>
      </c>
      <c r="AL26" s="150"/>
      <c r="AM26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6" s="142" t="str">
        <f>UPPER(Tbl_BONUS_03_TextFunctions_01[[#This Row],[Vendor Messy Casing]])</f>
        <v>A LONE WOLF</v>
      </c>
      <c r="AO26" s="150"/>
      <c r="AP26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6" s="142" t="str">
        <f>PROPER(Tbl_BONUS_03_TextFunctions_01[[#This Row],[Vendor Messy Casing]])</f>
        <v>A Lone Wolf</v>
      </c>
    </row>
    <row r="27" spans="2:43" x14ac:dyDescent="0.25">
      <c r="B27" s="9">
        <v>20</v>
      </c>
      <c r="C27" s="10" t="s">
        <v>196</v>
      </c>
      <c r="D27" s="150"/>
      <c r="E27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7" s="151">
        <f>SEARCH(".",Tbl_BONUS_03_TextFunctions_01[[#This Row],[PO Code]])</f>
        <v>3</v>
      </c>
      <c r="G27" s="152"/>
      <c r="H27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7" s="151">
        <f>SEARCH(".",Tbl_BONUS_03_TextFunctions_01[[#This Row],[PO Code]],Tbl_BONUS_03_TextFunctions_01[[#This Row],[Position of 1st "." (period) in PO Code]]+1)</f>
        <v>3</v>
      </c>
      <c r="J27" s="150"/>
      <c r="K27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7" s="142">
        <f>SEARCH(".",Tbl_BONUS_03_TextFunctions_01[[#This Row],[PO Code]],Tbl_BONUS_03_TextFunctions_01[[#This Row],[Position of 2nd "." (period) in PO Code]]+1)</f>
        <v>3</v>
      </c>
      <c r="M27" s="150"/>
      <c r="N27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7" s="142" t="e">
        <f>LEFT(Tbl_BONUS_03_TextFunctions_01[[#This Row],[PO Code]],Tbl_BONUS_03_TextFunctions_01[[#This Row],[Position of 1st "." (period) in PO Code]]-1)</f>
        <v>#VALUE!</v>
      </c>
      <c r="P27" s="150"/>
      <c r="Q27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7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7" s="150"/>
      <c r="T27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7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7" s="150"/>
      <c r="W27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7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7" s="150"/>
      <c r="Z27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7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7" s="150"/>
      <c r="AC27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7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7" s="150"/>
      <c r="AF27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7" s="142" t="str">
        <f>SUBSTITUTE(Tbl_BONUS_03_TextFunctions_01[[#This Row],[PO Code]],".","_")</f>
        <v>HB_GC_DYS_ABCC_SM</v>
      </c>
      <c r="AH27" s="154" t="s">
        <v>285</v>
      </c>
      <c r="AI27" s="150"/>
      <c r="AJ27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7" s="142" t="str">
        <f>LOWER(Tbl_BONUS_03_TextFunctions_01[[#This Row],[Vendor Messy Casing]])</f>
        <v>a guinea pig</v>
      </c>
      <c r="AL27" s="150"/>
      <c r="AM27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7" s="142" t="str">
        <f>UPPER(Tbl_BONUS_03_TextFunctions_01[[#This Row],[Vendor Messy Casing]])</f>
        <v>A GUINEA PIG</v>
      </c>
      <c r="AO27" s="150"/>
      <c r="AP27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7" s="142" t="str">
        <f>PROPER(Tbl_BONUS_03_TextFunctions_01[[#This Row],[Vendor Messy Casing]])</f>
        <v>A Guinea Pig</v>
      </c>
    </row>
    <row r="28" spans="2:43" x14ac:dyDescent="0.25">
      <c r="B28" s="9">
        <v>21</v>
      </c>
      <c r="C28" s="10" t="s">
        <v>197</v>
      </c>
      <c r="D28" s="150"/>
      <c r="E28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8" s="151">
        <f>SEARCH(".",Tbl_BONUS_03_TextFunctions_01[[#This Row],[PO Code]])</f>
        <v>3</v>
      </c>
      <c r="G28" s="152"/>
      <c r="H28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8" s="151">
        <f>SEARCH(".",Tbl_BONUS_03_TextFunctions_01[[#This Row],[PO Code]],Tbl_BONUS_03_TextFunctions_01[[#This Row],[Position of 1st "." (period) in PO Code]]+1)</f>
        <v>3</v>
      </c>
      <c r="J28" s="150"/>
      <c r="K28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8" s="142">
        <f>SEARCH(".",Tbl_BONUS_03_TextFunctions_01[[#This Row],[PO Code]],Tbl_BONUS_03_TextFunctions_01[[#This Row],[Position of 2nd "." (period) in PO Code]]+1)</f>
        <v>3</v>
      </c>
      <c r="M28" s="150"/>
      <c r="N28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8" s="142" t="e">
        <f>LEFT(Tbl_BONUS_03_TextFunctions_01[[#This Row],[PO Code]],Tbl_BONUS_03_TextFunctions_01[[#This Row],[Position of 1st "." (period) in PO Code]]-1)</f>
        <v>#VALUE!</v>
      </c>
      <c r="P28" s="150"/>
      <c r="Q28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8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8" s="150"/>
      <c r="T28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8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8" s="150"/>
      <c r="W28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8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8" s="150"/>
      <c r="Z28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8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8" s="150"/>
      <c r="AC28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8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8" s="150"/>
      <c r="AF28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8" s="142" t="str">
        <f>SUBSTITUTE(Tbl_BONUS_03_TextFunctions_01[[#This Row],[PO Code]],".","_")</f>
        <v>AC_LV_EMWL_MNCA</v>
      </c>
      <c r="AH28" s="154" t="s">
        <v>283</v>
      </c>
      <c r="AI28" s="150"/>
      <c r="AJ28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8" s="142" t="str">
        <f>LOWER(Tbl_BONUS_03_TextFunctions_01[[#This Row],[Vendor Messy Casing]])</f>
        <v>let her rip</v>
      </c>
      <c r="AL28" s="150"/>
      <c r="AM28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8" s="142" t="str">
        <f>UPPER(Tbl_BONUS_03_TextFunctions_01[[#This Row],[Vendor Messy Casing]])</f>
        <v>LET HER RIP</v>
      </c>
      <c r="AO28" s="150"/>
      <c r="AP28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8" s="142" t="str">
        <f>PROPER(Tbl_BONUS_03_TextFunctions_01[[#This Row],[Vendor Messy Casing]])</f>
        <v>Let Her Rip</v>
      </c>
    </row>
    <row r="29" spans="2:43" x14ac:dyDescent="0.25">
      <c r="B29" s="9">
        <v>22</v>
      </c>
      <c r="C29" s="10" t="s">
        <v>198</v>
      </c>
      <c r="D29" s="150"/>
      <c r="E29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29" s="151">
        <f>SEARCH(".",Tbl_BONUS_03_TextFunctions_01[[#This Row],[PO Code]])</f>
        <v>3</v>
      </c>
      <c r="G29" s="152"/>
      <c r="H29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29" s="151">
        <f>SEARCH(".",Tbl_BONUS_03_TextFunctions_01[[#This Row],[PO Code]],Tbl_BONUS_03_TextFunctions_01[[#This Row],[Position of 1st "." (period) in PO Code]]+1)</f>
        <v>3</v>
      </c>
      <c r="J29" s="150"/>
      <c r="K29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29" s="142">
        <f>SEARCH(".",Tbl_BONUS_03_TextFunctions_01[[#This Row],[PO Code]],Tbl_BONUS_03_TextFunctions_01[[#This Row],[Position of 2nd "." (period) in PO Code]]+1)</f>
        <v>3</v>
      </c>
      <c r="M29" s="150"/>
      <c r="N29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29" s="142" t="e">
        <f>LEFT(Tbl_BONUS_03_TextFunctions_01[[#This Row],[PO Code]],Tbl_BONUS_03_TextFunctions_01[[#This Row],[Position of 1st "." (period) in PO Code]]-1)</f>
        <v>#VALUE!</v>
      </c>
      <c r="P29" s="150"/>
      <c r="Q29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29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29" s="150"/>
      <c r="T29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29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29" s="150"/>
      <c r="W29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29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29" s="150"/>
      <c r="Z29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29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29" s="150"/>
      <c r="AC29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29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29" s="150"/>
      <c r="AF29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29" s="142" t="str">
        <f>SUBSTITUTE(Tbl_BONUS_03_TextFunctions_01[[#This Row],[PO Code]],".","_")</f>
        <v>HB_CH_TCST_QCA_LG</v>
      </c>
      <c r="AH29" s="154" t="s">
        <v>284</v>
      </c>
      <c r="AI29" s="150"/>
      <c r="AJ29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29" s="142" t="str">
        <f>LOWER(Tbl_BONUS_03_TextFunctions_01[[#This Row],[Vendor Messy Casing]])</f>
        <v>a lone wolf</v>
      </c>
      <c r="AL29" s="150"/>
      <c r="AM29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29" s="142" t="str">
        <f>UPPER(Tbl_BONUS_03_TextFunctions_01[[#This Row],[Vendor Messy Casing]])</f>
        <v>A LONE WOLF</v>
      </c>
      <c r="AO29" s="150"/>
      <c r="AP29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29" s="142" t="str">
        <f>PROPER(Tbl_BONUS_03_TextFunctions_01[[#This Row],[Vendor Messy Casing]])</f>
        <v>A Lone Wolf</v>
      </c>
    </row>
    <row r="30" spans="2:43" x14ac:dyDescent="0.25">
      <c r="B30" s="9">
        <v>23</v>
      </c>
      <c r="C30" s="10" t="s">
        <v>199</v>
      </c>
      <c r="D30" s="150"/>
      <c r="E30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30" s="151">
        <f>SEARCH(".",Tbl_BONUS_03_TextFunctions_01[[#This Row],[PO Code]])</f>
        <v>3</v>
      </c>
      <c r="G30" s="152"/>
      <c r="H30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30" s="151">
        <f>SEARCH(".",Tbl_BONUS_03_TextFunctions_01[[#This Row],[PO Code]],Tbl_BONUS_03_TextFunctions_01[[#This Row],[Position of 1st "." (period) in PO Code]]+1)</f>
        <v>3</v>
      </c>
      <c r="J30" s="150"/>
      <c r="K30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30" s="142">
        <f>SEARCH(".",Tbl_BONUS_03_TextFunctions_01[[#This Row],[PO Code]],Tbl_BONUS_03_TextFunctions_01[[#This Row],[Position of 2nd "." (period) in PO Code]]+1)</f>
        <v>3</v>
      </c>
      <c r="M30" s="150"/>
      <c r="N30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30" s="142" t="e">
        <f>LEFT(Tbl_BONUS_03_TextFunctions_01[[#This Row],[PO Code]],Tbl_BONUS_03_TextFunctions_01[[#This Row],[Position of 1st "." (period) in PO Code]]-1)</f>
        <v>#VALUE!</v>
      </c>
      <c r="P30" s="150"/>
      <c r="Q30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30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30" s="150"/>
      <c r="T30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30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30" s="150"/>
      <c r="W30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30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30" s="150"/>
      <c r="Z30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30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30" s="150"/>
      <c r="AC30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30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30" s="150"/>
      <c r="AF30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30" s="142" t="str">
        <f>SUBSTITUTE(Tbl_BONUS_03_TextFunctions_01[[#This Row],[PO Code]],".","_")</f>
        <v>HB_VA_ROROC_SLTU_SM</v>
      </c>
      <c r="AH30" s="154" t="s">
        <v>285</v>
      </c>
      <c r="AI30" s="150"/>
      <c r="AJ30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30" s="142" t="str">
        <f>LOWER(Tbl_BONUS_03_TextFunctions_01[[#This Row],[Vendor Messy Casing]])</f>
        <v>a guinea pig</v>
      </c>
      <c r="AL30" s="150"/>
      <c r="AM30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30" s="142" t="str">
        <f>UPPER(Tbl_BONUS_03_TextFunctions_01[[#This Row],[Vendor Messy Casing]])</f>
        <v>A GUINEA PIG</v>
      </c>
      <c r="AO30" s="150"/>
      <c r="AP30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30" s="142" t="str">
        <f>PROPER(Tbl_BONUS_03_TextFunctions_01[[#This Row],[Vendor Messy Casing]])</f>
        <v>A Guinea Pig</v>
      </c>
    </row>
    <row r="31" spans="2:43" x14ac:dyDescent="0.25">
      <c r="B31" s="9">
        <v>24</v>
      </c>
      <c r="C31" s="10" t="s">
        <v>200</v>
      </c>
      <c r="D31" s="150"/>
      <c r="E31" s="46" t="str">
        <f>IFERROR(IF(Tbl_BONUS_03_TextFunctions_01[[#This Row],[Position of 1st "." (period) in PO Code]]="","",IF(AND(_xlfn.ISFORMULA(Tbl_BONUS_03_TextFunctions_01[[#This Row],[Position of 1st "." (period) in PO Code]]),EXACT(Tbl_BONUS_03_TextFunctions_01[[#This Row],[Position of 1st "." (period) in PO Code]],Tbl_BONUS_03_TextFunctions_01[[#This Row],[Position of 1st "." (period) in PO Code ANS]])),Rng_Lkp_AnswerStatus_Good,Rng_Lkp_AnswerStatus_Bad)),Rng_Lkp_AnswerStatus_Bad)</f>
        <v/>
      </c>
      <c r="F31" s="151">
        <f>SEARCH(".",Tbl_BONUS_03_TextFunctions_01[[#This Row],[PO Code]])</f>
        <v>3</v>
      </c>
      <c r="G31" s="152"/>
      <c r="H31" s="46" t="str">
        <f>IFERROR(IF(Tbl_BONUS_03_TextFunctions_01[[#This Row],[Position of 2nd "." (period) in PO Code]]="","",IF(AND(_xlfn.ISFORMULA(Tbl_BONUS_03_TextFunctions_01[[#This Row],[Position of 2nd "." (period) in PO Code]]),EXACT(Tbl_BONUS_03_TextFunctions_01[[#This Row],[Position of 2nd "." (period) in PO Code]],Tbl_BONUS_03_TextFunctions_01[[#This Row],[Position of 2nd "." (period) in PO Code ANS]])),Rng_Lkp_AnswerStatus_Good,Rng_Lkp_AnswerStatus_Bad)),Rng_Lkp_AnswerStatus_Bad)</f>
        <v/>
      </c>
      <c r="I31" s="151">
        <f>SEARCH(".",Tbl_BONUS_03_TextFunctions_01[[#This Row],[PO Code]],Tbl_BONUS_03_TextFunctions_01[[#This Row],[Position of 1st "." (period) in PO Code]]+1)</f>
        <v>3</v>
      </c>
      <c r="J31" s="150"/>
      <c r="K31" s="19" t="str">
        <f>IFERROR(IF(Tbl_BONUS_03_TextFunctions_01[[#This Row],[Position of 3rd "." (period) in PO Code]]="","",IF(AND(_xlfn.ISFORMULA(Tbl_BONUS_03_TextFunctions_01[[#This Row],[Position of 3rd "." (period) in PO Code]]),EXACT(Tbl_BONUS_03_TextFunctions_01[[#This Row],[Position of 3rd "." (period) in PO Code]],Tbl_BONUS_03_TextFunctions_01[[#This Row],[Position of 3rd "." (period) in PO Code ANS]])),Rng_Lkp_AnswerStatus_Good,Rng_Lkp_AnswerStatus_Bad)),Rng_Lkp_AnswerStatus_Bad)</f>
        <v/>
      </c>
      <c r="L31" s="142">
        <f>SEARCH(".",Tbl_BONUS_03_TextFunctions_01[[#This Row],[PO Code]],Tbl_BONUS_03_TextFunctions_01[[#This Row],[Position of 2nd "." (period) in PO Code]]+1)</f>
        <v>3</v>
      </c>
      <c r="M31" s="150"/>
      <c r="N31" s="19" t="str">
        <f>IFERROR(IF(Tbl_BONUS_03_TextFunctions_01[[#This Row],[Contents of 1st Part of PO Code]]="","",IF(AND(_xlfn.ISFORMULA(Tbl_BONUS_03_TextFunctions_01[[#This Row],[Contents of 1st Part of PO Code]]),EXACT(Tbl_BONUS_03_TextFunctions_01[[#This Row],[Contents of 1st Part of PO Code]],Tbl_BONUS_03_TextFunctions_01[[#This Row],[Contents of 1st Part of PO Code ANS]])),Rng_Lkp_AnswerStatus_Good,Rng_Lkp_AnswerStatus_Bad)),Rng_Lkp_AnswerStatus_Bad)</f>
        <v/>
      </c>
      <c r="O31" s="142" t="e">
        <f>LEFT(Tbl_BONUS_03_TextFunctions_01[[#This Row],[PO Code]],Tbl_BONUS_03_TextFunctions_01[[#This Row],[Position of 1st "." (period) in PO Code]]-1)</f>
        <v>#VALUE!</v>
      </c>
      <c r="P31" s="150"/>
      <c r="Q31" s="19" t="str">
        <f>IFERROR(IF(Tbl_BONUS_03_TextFunctions_01[[#This Row],[Contents of 2nd Part of PO Code]]="","",IF(AND(_xlfn.ISFORMULA(Tbl_BONUS_03_TextFunctions_01[[#This Row],[Contents of 2nd Part of PO Code]]),EXACT(Tbl_BONUS_03_TextFunctions_01[[#This Row],[Contents of 2nd Part of PO Code]],Tbl_BONUS_03_TextFunctions_01[[#This Row],[Contents of 2nd Part of PO Code ANS]])),Rng_Lkp_AnswerStatus_Good,Rng_Lkp_AnswerStatus_Bad)),Rng_Lkp_AnswerStatus_Bad)</f>
        <v/>
      </c>
      <c r="R31" s="142" t="e">
        <f>MID(Tbl_BONUS_03_TextFunctions_01[[#This Row],[PO Code]],Tbl_BONUS_03_TextFunctions_01[[#This Row],[Position of 1st "." (period) in PO Code]]+1,Tbl_BONUS_03_TextFunctions_01[[#This Row],[Position of 2nd "." (period) in PO Code]]-Tbl_BONUS_03_TextFunctions_01[[#This Row],[Position of 1st "." (period) in PO Code]]-1)</f>
        <v>#VALUE!</v>
      </c>
      <c r="S31" s="150"/>
      <c r="T31" s="19" t="str">
        <f>IFERROR(IF(Tbl_BONUS_03_TextFunctions_01[[#This Row],[Contents of 3rd Part of PO Code]]="","",IF(AND(_xlfn.ISFORMULA(Tbl_BONUS_03_TextFunctions_01[[#This Row],[Contents of 3rd Part of PO Code]]),EXACT(Tbl_BONUS_03_TextFunctions_01[[#This Row],[Contents of 3rd Part of PO Code]],Tbl_BONUS_03_TextFunctions_01[[#This Row],[Contents of 3rd Part of PO Code ANS]])),Rng_Lkp_AnswerStatus_Good,Rng_Lkp_AnswerStatus_Bad)),Rng_Lkp_AnswerStatus_Bad)</f>
        <v/>
      </c>
      <c r="U31" s="142" t="e">
        <f>MID(Tbl_BONUS_03_TextFunctions_01[[#This Row],[PO Code]],Tbl_BONUS_03_TextFunctions_01[[#This Row],[Position of 2nd "." (period) in PO Code]]+1,Tbl_BONUS_03_TextFunctions_01[[#This Row],[Position of 3rd "." (period) in PO Code]]-Tbl_BONUS_03_TextFunctions_01[[#This Row],[Position of 2nd "." (period) in PO Code]]-1)</f>
        <v>#VALUE!</v>
      </c>
      <c r="V31" s="150"/>
      <c r="W31" s="19" t="str">
        <f>IFERROR(IF(Tbl_BONUS_03_TextFunctions_01[[#This Row],[Parts 1, 2, and 3 of PO Code, Separated by "." (period) using &amp;]]="","",IF(AND(_xlfn.ISFORMULA(Tbl_BONUS_03_TextFunctions_01[[#This Row],[Parts 1, 2, and 3 of PO Code, Separated by "." (period) using &amp;]]),EXACT(Tbl_BONUS_03_TextFunctions_01[[#This Row],[Parts 1, 2, and 3 of PO Code, Separated by "." (period) using &amp;]],Tbl_BONUS_03_TextFunctions_01[[#This Row],[Parts 1, 2, and 3 of PO Code, Separated by "." (period) using &amp; ANS]])),Rng_Lkp_AnswerStatus_Good,Rng_Lkp_AnswerStatus_Bad)),Rng_Lkp_AnswerStatus_Bad)</f>
        <v/>
      </c>
      <c r="X31" s="142" t="str">
        <f>Tbl_BONUS_03_TextFunctions_01[[#This Row],[Contents of 1st Part of PO Code]] &amp; "." &amp; Tbl_BONUS_03_TextFunctions_01[[#This Row],[Contents of 2nd Part of PO Code]] &amp; "." &amp; Tbl_BONUS_03_TextFunctions_01[[#This Row],[Contents of 3rd Part of PO Code]]</f>
        <v>..</v>
      </c>
      <c r="Y31" s="150"/>
      <c r="Z31" s="19" t="str">
        <f>IFERROR(IF(Tbl_BONUS_03_TextFunctions_01[[#This Row],[Parts 1, 2, and 3 of PO Code, Separated by "." (period) using CONCATENATE]]="","",IF(AND(_xlfn.ISFORMULA(Tbl_BONUS_03_TextFunctions_01[[#This Row],[Parts 1, 2, and 3 of PO Code, Separated by "." (period) using CONCATENATE]]),EXACT(Tbl_BONUS_03_TextFunctions_01[[#This Row],[Parts 1, 2, and 3 of PO Code, Separated by "." (period) using CONCATENATE]],Tbl_BONUS_03_TextFunctions_01[[#This Row],[Parts 1, 2, and 3 of PO Code, Separated by "." (period) using CONCATENATE ANS]])),Rng_Lkp_AnswerStatus_Good,Rng_Lkp_AnswerStatus_Bad)),Rng_Lkp_AnswerStatus_Bad)</f>
        <v/>
      </c>
      <c r="AA31" s="142" t="str">
        <f>CONCATENATE(Tbl_BONUS_03_TextFunctions_01[[#This Row],[Contents of 1st Part of PO Code]],".",Tbl_BONUS_03_TextFunctions_01[[#This Row],[Contents of 2nd Part of PO Code]],".",Tbl_BONUS_03_TextFunctions_01[[#This Row],[Contents of 3rd Part of PO Code]])</f>
        <v>..</v>
      </c>
      <c r="AB31" s="150"/>
      <c r="AC31" s="19" t="str">
        <f>IFERROR(IF(Tbl_BONUS_03_TextFunctions_01[[#This Row],[Parts 1, 2, and 3 of PO Code, Separated by "." (period) using TEXTJOIN]]="","",IF(AND(_xlfn.ISFORMULA(Tbl_BONUS_03_TextFunctions_01[[#This Row],[Parts 1, 2, and 3 of PO Code, Separated by "." (period) using TEXTJOIN]]),EXACT(Tbl_BONUS_03_TextFunctions_01[[#This Row],[Parts 1, 2, and 3 of PO Code, Separated by "." (period) using TEXTJOIN]],Tbl_BONUS_03_TextFunctions_01[[#This Row],[Parts 1, 2, and 3 of PO Code, Separated by "." (period) using TEXTJOIN ANS]])),Rng_Lkp_AnswerStatus_Good,Rng_Lkp_AnswerStatus_Bad)),Rng_Lkp_AnswerStatus_Bad)</f>
        <v/>
      </c>
      <c r="AD31" s="142" t="str">
        <f>_xlfn.TEXTJOIN(".",TRUE,Tbl_BONUS_03_TextFunctions_01[[#This Row],[Contents of 1st Part of PO Code]],Tbl_BONUS_03_TextFunctions_01[[#This Row],[Contents of 2nd Part of PO Code]],Tbl_BONUS_03_TextFunctions_01[[#This Row],[Contents of 3rd Part of PO Code]])</f>
        <v/>
      </c>
      <c r="AE31" s="150"/>
      <c r="AF31" s="19" t="str">
        <f>IFERROR(IF(Tbl_BONUS_03_TextFunctions_01[[#This Row],[SUBSTITUTE "." (period) with "_" (underscore) in PO Code]]="","",IF(AND(_xlfn.ISFORMULA(Tbl_BONUS_03_TextFunctions_01[[#This Row],[SUBSTITUTE "." (period) with "_" (underscore) in PO Code]]),EXACT(Tbl_BONUS_03_TextFunctions_01[[#This Row],[SUBSTITUTE "." (period) with "_" (underscore) in PO Code]],Tbl_BONUS_03_TextFunctions_01[[#This Row],[SUBSTITUTE "." (period) with "_" (underscore) in PO Code ANS]])),Rng_Lkp_AnswerStatus_Good,Rng_Lkp_AnswerStatus_Bad)),Rng_Lkp_AnswerStatus_Bad)</f>
        <v/>
      </c>
      <c r="AG31" s="142" t="str">
        <f>SUBSTITUTE(Tbl_BONUS_03_TextFunctions_01[[#This Row],[PO Code]],".","_")</f>
        <v>HB_CH_BIA_QUCC_SM</v>
      </c>
      <c r="AH31" s="154" t="s">
        <v>287</v>
      </c>
      <c r="AI31" s="150"/>
      <c r="AJ31" s="19" t="str">
        <f>IFERROR(IF(Tbl_BONUS_03_TextFunctions_01[[#This Row],[Vendor LOWER Case]]="","",IF(AND(_xlfn.ISFORMULA(Tbl_BONUS_03_TextFunctions_01[[#This Row],[Vendor LOWER Case]]),EXACT(Tbl_BONUS_03_TextFunctions_01[[#This Row],[Vendor LOWER Case]],Tbl_BONUS_03_TextFunctions_01[[#This Row],[Vendor LOWER Case ANS]])),Rng_Lkp_AnswerStatus_Good,Rng_Lkp_AnswerStatus_Bad)),Rng_Lkp_AnswerStatus_Bad)</f>
        <v/>
      </c>
      <c r="AK31" s="142" t="str">
        <f>LOWER(Tbl_BONUS_03_TextFunctions_01[[#This Row],[Vendor Messy Casing]])</f>
        <v>back to square one</v>
      </c>
      <c r="AL31" s="150"/>
      <c r="AM31" s="19" t="str">
        <f>IFERROR(IF(Tbl_BONUS_03_TextFunctions_01[[#This Row],[Vendor UPPER Case]]="","",IF(AND(_xlfn.ISFORMULA(Tbl_BONUS_03_TextFunctions_01[[#This Row],[Vendor UPPER Case]]),EXACT(Tbl_BONUS_03_TextFunctions_01[[#This Row],[Vendor UPPER Case]],Tbl_BONUS_03_TextFunctions_01[[#This Row],[Vendor UPPER Case ANS]])),Rng_Lkp_AnswerStatus_Good,Rng_Lkp_AnswerStatus_Bad)),Rng_Lkp_AnswerStatus_Bad)</f>
        <v/>
      </c>
      <c r="AN31" s="142" t="str">
        <f>UPPER(Tbl_BONUS_03_TextFunctions_01[[#This Row],[Vendor Messy Casing]])</f>
        <v>BACK TO SQUARE ONE</v>
      </c>
      <c r="AO31" s="150"/>
      <c r="AP31" s="19" t="str">
        <f>IFERROR(IF(Tbl_BONUS_03_TextFunctions_01[[#This Row],[Vendor Proper Case]]="","",IF(AND(_xlfn.ISFORMULA(Tbl_BONUS_03_TextFunctions_01[[#This Row],[Vendor Proper Case]]),EXACT(Tbl_BONUS_03_TextFunctions_01[[#This Row],[Vendor Proper Case]],Tbl_BONUS_03_TextFunctions_01[[#This Row],[Vendor Proper Case ANS]])),Rng_Lkp_AnswerStatus_Good,Rng_Lkp_AnswerStatus_Bad)),Rng_Lkp_AnswerStatus_Bad)</f>
        <v/>
      </c>
      <c r="AQ31" s="142" t="str">
        <f>PROPER(Tbl_BONUS_03_TextFunctions_01[[#This Row],[Vendor Messy Casing]])</f>
        <v>Back To Square One</v>
      </c>
    </row>
  </sheetData>
  <phoneticPr fontId="21" type="noConversion"/>
  <conditionalFormatting sqref="B5:B6 E6 H6 K6 N6 Q6 AP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AQ31">
    <cfRule type="cellIs" dxfId="95" priority="4" operator="equal">
      <formula>Rng_Lkp_AnswerStatus_Bad</formula>
    </cfRule>
    <cfRule type="cellIs" dxfId="94" priority="5" operator="equal">
      <formula>Rng_Lkp_AnswerStatus_Good</formula>
    </cfRule>
  </conditionalFormatting>
  <conditionalFormatting sqref="T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Z6 W6 AC6 AF6 AJ6 AM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DF35-0A30-413F-8BF7-DD738587EA56}">
  <sheetPr>
    <tabColor theme="1"/>
  </sheetPr>
  <dimension ref="A1:E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bestFit="1" customWidth="1"/>
    <col min="2" max="2" width="2.7109375" customWidth="1"/>
    <col min="3" max="3" width="4.140625" bestFit="1" customWidth="1"/>
    <col min="4" max="4" width="2.7109375" customWidth="1"/>
    <col min="5" max="5" width="12.42578125" bestFit="1" customWidth="1"/>
  </cols>
  <sheetData>
    <row r="1" spans="1:5" s="32" customFormat="1" ht="30" x14ac:dyDescent="0.25">
      <c r="A1" s="30" t="s">
        <v>1</v>
      </c>
      <c r="C1" s="30" t="s">
        <v>21</v>
      </c>
      <c r="E1" s="15" t="s">
        <v>16</v>
      </c>
    </row>
    <row r="2" spans="1:5" x14ac:dyDescent="0.25">
      <c r="A2" s="29" t="s">
        <v>2</v>
      </c>
      <c r="C2" s="29" t="s">
        <v>13</v>
      </c>
      <c r="E2" s="28" t="s">
        <v>15</v>
      </c>
    </row>
    <row r="3" spans="1:5" x14ac:dyDescent="0.25">
      <c r="A3" s="14" t="s">
        <v>3</v>
      </c>
      <c r="C3" s="33" t="s">
        <v>14</v>
      </c>
      <c r="E3" s="31" t="s">
        <v>17</v>
      </c>
    </row>
    <row r="4" spans="1:5" x14ac:dyDescent="0.25">
      <c r="E4" s="31" t="s">
        <v>18</v>
      </c>
    </row>
    <row r="5" spans="1:5" x14ac:dyDescent="0.25">
      <c r="E5" s="31" t="s">
        <v>19</v>
      </c>
    </row>
  </sheetData>
  <pageMargins left="0.7" right="0.7" top="0.75" bottom="0.75" header="0.3" footer="0.3"/>
  <pageSetup paperSize="121" orientation="portrait" horizontalDpi="300" verticalDpi="30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B9B1-DA8D-48F8-83A1-88D8EB858155}">
  <sheetPr>
    <tabColor rgb="FFD6F6F5"/>
  </sheetPr>
  <dimension ref="B1:K30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14.28515625" style="4" customWidth="1"/>
    <col min="5" max="5" width="4.7109375" style="4" customWidth="1"/>
    <col min="6" max="6" width="3.85546875" style="4" customWidth="1"/>
    <col min="7" max="7" width="22" style="4" customWidth="1"/>
    <col min="8" max="8" width="4.7109375" style="4" customWidth="1"/>
    <col min="9" max="9" width="7.140625" style="4" customWidth="1"/>
    <col min="10" max="10" width="14" style="4" bestFit="1" customWidth="1"/>
    <col min="11" max="11" width="71.140625" style="4" bestFit="1" customWidth="1"/>
    <col min="12" max="16384" width="9.140625" style="4"/>
  </cols>
  <sheetData>
    <row r="1" spans="2:11" ht="26.25" x14ac:dyDescent="0.4">
      <c r="B1" s="71" t="s">
        <v>93</v>
      </c>
    </row>
    <row r="2" spans="2:11" ht="21" x14ac:dyDescent="0.35">
      <c r="B2" s="5" t="s">
        <v>290</v>
      </c>
    </row>
    <row r="3" spans="2:11" x14ac:dyDescent="0.3">
      <c r="B3" s="155">
        <v>1</v>
      </c>
      <c r="C3" s="155" t="s">
        <v>291</v>
      </c>
    </row>
    <row r="4" spans="2:11" x14ac:dyDescent="0.3">
      <c r="D4" s="4" t="s">
        <v>292</v>
      </c>
    </row>
    <row r="5" spans="2:11" x14ac:dyDescent="0.3">
      <c r="D5" s="4" t="s">
        <v>293</v>
      </c>
    </row>
    <row r="7" spans="2:11" x14ac:dyDescent="0.3">
      <c r="B7" s="155">
        <v>2</v>
      </c>
      <c r="C7" s="155" t="s">
        <v>294</v>
      </c>
    </row>
    <row r="8" spans="2:11" x14ac:dyDescent="0.3">
      <c r="C8" s="157" t="s">
        <v>295</v>
      </c>
      <c r="D8" s="1"/>
      <c r="E8" s="156"/>
      <c r="F8" s="157" t="s">
        <v>296</v>
      </c>
      <c r="G8" s="1"/>
      <c r="H8" s="1"/>
      <c r="I8" s="157" t="s">
        <v>297</v>
      </c>
      <c r="J8" s="1"/>
      <c r="K8" s="1"/>
    </row>
    <row r="9" spans="2:11" x14ac:dyDescent="0.3">
      <c r="C9" s="158" t="s">
        <v>298</v>
      </c>
      <c r="D9" s="158" t="s">
        <v>299</v>
      </c>
      <c r="E9" s="1"/>
      <c r="F9" s="158" t="s">
        <v>300</v>
      </c>
      <c r="G9" s="158" t="s">
        <v>301</v>
      </c>
      <c r="H9" s="1"/>
      <c r="I9" s="158" t="s">
        <v>302</v>
      </c>
      <c r="J9" s="158" t="s">
        <v>303</v>
      </c>
      <c r="K9" s="158" t="s">
        <v>304</v>
      </c>
    </row>
    <row r="10" spans="2:11" x14ac:dyDescent="0.3">
      <c r="C10" s="1" t="s">
        <v>305</v>
      </c>
      <c r="D10" s="1" t="s">
        <v>306</v>
      </c>
      <c r="E10" s="1"/>
      <c r="F10" s="1" t="s">
        <v>307</v>
      </c>
      <c r="G10" s="1" t="s">
        <v>308</v>
      </c>
      <c r="H10" s="1"/>
      <c r="I10" s="1" t="s">
        <v>309</v>
      </c>
      <c r="J10" s="1" t="s">
        <v>310</v>
      </c>
      <c r="K10" s="1" t="s">
        <v>311</v>
      </c>
    </row>
    <row r="11" spans="2:11" x14ac:dyDescent="0.3">
      <c r="C11" s="158" t="s">
        <v>312</v>
      </c>
      <c r="D11" s="158" t="s">
        <v>313</v>
      </c>
      <c r="E11" s="1"/>
      <c r="F11" s="158" t="s">
        <v>314</v>
      </c>
      <c r="G11" s="158" t="s">
        <v>315</v>
      </c>
      <c r="H11" s="1"/>
      <c r="I11" s="1"/>
      <c r="J11" s="1"/>
      <c r="K11" s="1" t="s">
        <v>316</v>
      </c>
    </row>
    <row r="12" spans="2:11" x14ac:dyDescent="0.3">
      <c r="C12" s="1" t="str">
        <f>"/"</f>
        <v>/</v>
      </c>
      <c r="D12" s="1" t="s">
        <v>317</v>
      </c>
      <c r="E12" s="1"/>
      <c r="F12" s="1" t="s">
        <v>318</v>
      </c>
      <c r="G12" s="1" t="s">
        <v>319</v>
      </c>
      <c r="H12" s="1"/>
      <c r="I12" s="158" t="s">
        <v>320</v>
      </c>
      <c r="J12" s="158" t="s">
        <v>321</v>
      </c>
      <c r="K12" s="158" t="s">
        <v>322</v>
      </c>
    </row>
    <row r="13" spans="2:11" x14ac:dyDescent="0.3">
      <c r="C13" s="158" t="s">
        <v>323</v>
      </c>
      <c r="D13" s="158" t="s">
        <v>324</v>
      </c>
      <c r="E13" s="1"/>
      <c r="F13" s="158" t="s">
        <v>325</v>
      </c>
      <c r="G13" s="158" t="s">
        <v>326</v>
      </c>
      <c r="H13" s="1"/>
      <c r="I13" s="1" t="s">
        <v>327</v>
      </c>
      <c r="J13" s="1" t="s">
        <v>328</v>
      </c>
      <c r="K13" s="1" t="s">
        <v>329</v>
      </c>
    </row>
    <row r="14" spans="2:11" x14ac:dyDescent="0.3">
      <c r="C14" s="1"/>
      <c r="D14" s="1"/>
      <c r="E14" s="1"/>
      <c r="F14" s="1" t="s">
        <v>330</v>
      </c>
      <c r="G14" s="1" t="s">
        <v>331</v>
      </c>
      <c r="H14" s="1"/>
      <c r="I14" s="158" t="s">
        <v>332</v>
      </c>
      <c r="J14" s="158" t="s">
        <v>333</v>
      </c>
      <c r="K14" s="158" t="s">
        <v>334</v>
      </c>
    </row>
    <row r="15" spans="2:11" x14ac:dyDescent="0.3">
      <c r="C15" s="1"/>
      <c r="D15" s="1"/>
      <c r="E15" s="1"/>
      <c r="F15" s="1"/>
      <c r="G15" s="1"/>
      <c r="H15" s="1"/>
      <c r="I15" s="1" t="s">
        <v>335</v>
      </c>
      <c r="J15" s="1" t="s">
        <v>336</v>
      </c>
      <c r="K15" s="1" t="s">
        <v>337</v>
      </c>
    </row>
    <row r="16" spans="2:11" x14ac:dyDescent="0.3">
      <c r="C16" s="1"/>
      <c r="D16" s="1"/>
      <c r="E16" s="1"/>
      <c r="F16" s="1"/>
      <c r="G16" s="1"/>
      <c r="H16" s="1"/>
      <c r="I16" s="159" t="str">
        <f>"'"</f>
        <v>'</v>
      </c>
      <c r="J16" s="158" t="s">
        <v>338</v>
      </c>
      <c r="K16" s="158" t="s">
        <v>339</v>
      </c>
    </row>
    <row r="18" spans="2:4" x14ac:dyDescent="0.3">
      <c r="B18" s="155">
        <v>3</v>
      </c>
      <c r="C18" s="155" t="s">
        <v>340</v>
      </c>
    </row>
    <row r="19" spans="2:4" x14ac:dyDescent="0.3">
      <c r="D19" s="4" t="s">
        <v>341</v>
      </c>
    </row>
    <row r="21" spans="2:4" x14ac:dyDescent="0.3">
      <c r="B21" s="155">
        <v>4</v>
      </c>
      <c r="C21" s="155" t="s">
        <v>342</v>
      </c>
    </row>
    <row r="22" spans="2:4" x14ac:dyDescent="0.3">
      <c r="D22" s="4" t="s">
        <v>343</v>
      </c>
    </row>
    <row r="24" spans="2:4" x14ac:dyDescent="0.3">
      <c r="B24" s="155">
        <v>5</v>
      </c>
      <c r="C24" s="155" t="s">
        <v>344</v>
      </c>
    </row>
    <row r="25" spans="2:4" x14ac:dyDescent="0.3">
      <c r="C25" s="4" t="s">
        <v>345</v>
      </c>
      <c r="D25" s="4" t="s">
        <v>349</v>
      </c>
    </row>
    <row r="26" spans="2:4" x14ac:dyDescent="0.3">
      <c r="C26" s="4" t="s">
        <v>346</v>
      </c>
      <c r="D26" s="4" t="s">
        <v>350</v>
      </c>
    </row>
    <row r="27" spans="2:4" x14ac:dyDescent="0.3">
      <c r="C27" s="4" t="s">
        <v>347</v>
      </c>
      <c r="D27" s="4" t="s">
        <v>351</v>
      </c>
    </row>
    <row r="28" spans="2:4" x14ac:dyDescent="0.3">
      <c r="C28" s="4" t="s">
        <v>348</v>
      </c>
      <c r="D28" s="4" t="s">
        <v>352</v>
      </c>
    </row>
    <row r="29" spans="2:4" ht="6.95" customHeight="1" x14ac:dyDescent="0.3"/>
    <row r="30" spans="2:4" x14ac:dyDescent="0.3">
      <c r="C30" s="160" t="s">
        <v>353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20FF-7540-49A5-A325-4E84D4AFB71E}">
  <sheetPr>
    <tabColor theme="2" tint="-0.249977111117893"/>
  </sheetPr>
  <dimension ref="A1:G13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 outlineLevelRow="1" x14ac:dyDescent="0.25"/>
  <cols>
    <col min="1" max="1" width="2.5703125" style="8" customWidth="1"/>
    <col min="2" max="2" width="6.140625" style="8" bestFit="1" customWidth="1"/>
    <col min="3" max="3" width="16.140625" style="8" bestFit="1" customWidth="1"/>
    <col min="4" max="4" width="8.85546875" style="8" bestFit="1" customWidth="1"/>
    <col min="5" max="7" width="8.7109375" style="8" customWidth="1"/>
    <col min="8" max="16384" width="9.140625" style="8"/>
  </cols>
  <sheetData>
    <row r="1" spans="1:7" s="6" customFormat="1" ht="21" x14ac:dyDescent="0.35">
      <c r="A1" s="35"/>
      <c r="B1" s="3"/>
      <c r="D1" s="40" t="s">
        <v>94</v>
      </c>
    </row>
    <row r="2" spans="1:7" s="6" customFormat="1" ht="18.75" x14ac:dyDescent="0.3">
      <c r="A2" s="36"/>
      <c r="B2" s="7"/>
      <c r="D2" s="41" t="s">
        <v>103</v>
      </c>
    </row>
    <row r="3" spans="1:7" ht="6.95" customHeight="1" x14ac:dyDescent="0.25"/>
    <row r="4" spans="1:7" x14ac:dyDescent="0.25">
      <c r="B4" s="25" t="str">
        <f>B11</f>
        <v/>
      </c>
      <c r="C4" s="22" t="s">
        <v>9</v>
      </c>
    </row>
    <row r="5" spans="1:7" ht="30" x14ac:dyDescent="0.25">
      <c r="B5" s="15" t="s">
        <v>20</v>
      </c>
      <c r="C5" s="15" t="s">
        <v>75</v>
      </c>
      <c r="D5" s="16" t="s">
        <v>47</v>
      </c>
      <c r="E5" s="26" t="s">
        <v>48</v>
      </c>
      <c r="F5" s="26" t="s">
        <v>49</v>
      </c>
      <c r="G5" s="26" t="s">
        <v>50</v>
      </c>
    </row>
    <row r="6" spans="1:7" x14ac:dyDescent="0.25">
      <c r="B6" s="9">
        <v>1</v>
      </c>
      <c r="C6" s="10" t="s">
        <v>77</v>
      </c>
      <c r="D6" s="72">
        <v>590</v>
      </c>
      <c r="E6" s="34">
        <v>383</v>
      </c>
      <c r="F6" s="34">
        <v>443</v>
      </c>
      <c r="G6" s="34">
        <v>531</v>
      </c>
    </row>
    <row r="7" spans="1:7" x14ac:dyDescent="0.25">
      <c r="B7" s="9">
        <v>2</v>
      </c>
      <c r="C7" s="10" t="s">
        <v>78</v>
      </c>
      <c r="D7" s="72">
        <v>675</v>
      </c>
      <c r="E7" s="34">
        <v>444</v>
      </c>
      <c r="F7" s="34">
        <v>506</v>
      </c>
      <c r="G7" s="34">
        <v>608</v>
      </c>
    </row>
    <row r="8" spans="1:7" x14ac:dyDescent="0.25">
      <c r="B8" s="9">
        <v>3</v>
      </c>
      <c r="C8" s="10" t="s">
        <v>79</v>
      </c>
      <c r="D8" s="72">
        <v>390</v>
      </c>
      <c r="E8" s="34">
        <v>235</v>
      </c>
      <c r="F8" s="34">
        <v>293</v>
      </c>
      <c r="G8" s="34">
        <v>351</v>
      </c>
    </row>
    <row r="9" spans="1:7" x14ac:dyDescent="0.25">
      <c r="B9" s="9">
        <v>4</v>
      </c>
      <c r="C9" s="10" t="s">
        <v>80</v>
      </c>
      <c r="D9" s="72">
        <v>480</v>
      </c>
      <c r="E9" s="34">
        <v>291</v>
      </c>
      <c r="F9" s="34">
        <v>360</v>
      </c>
      <c r="G9" s="34">
        <v>432</v>
      </c>
    </row>
    <row r="10" spans="1:7" x14ac:dyDescent="0.25">
      <c r="C10" s="11" t="s">
        <v>25</v>
      </c>
      <c r="D10" s="73"/>
      <c r="E10" s="73"/>
      <c r="F10" s="73"/>
      <c r="G10" s="73"/>
    </row>
    <row r="11" spans="1:7" x14ac:dyDescent="0.25">
      <c r="B11" s="75" t="str">
        <f>IFERROR(COUNTIF(D11:G11,Rng_Lkp_AnswerStatus_Good)/COUNTA(D10:G10),"")</f>
        <v/>
      </c>
      <c r="C11" s="162" t="s">
        <v>1</v>
      </c>
      <c r="D11" s="163" t="str">
        <f>IFERROR(IF(D10="","",IF(AND(_xlfn.ISFORMULA(D10),EXACT(D10,D12)),Rng_Lkp_AnswerStatus_Good,Rng_Lkp_AnswerStatus_Bad)),Rng_Lkp_AnswerStatus_Bad)</f>
        <v/>
      </c>
      <c r="E11" s="163" t="str">
        <f>IFERROR(IF(E10="","",IF(AND(_xlfn.ISFORMULA(E10),EXACT(E10,E12)),Rng_Lkp_AnswerStatus_Good,Rng_Lkp_AnswerStatus_Bad)),Rng_Lkp_AnswerStatus_Bad)</f>
        <v/>
      </c>
      <c r="F11" s="163" t="str">
        <f>IFERROR(IF(F10="","",IF(AND(_xlfn.ISFORMULA(F10),EXACT(F10,F12)),Rng_Lkp_AnswerStatus_Good,Rng_Lkp_AnswerStatus_Bad)),Rng_Lkp_AnswerStatus_Bad)</f>
        <v/>
      </c>
      <c r="G11" s="163" t="str">
        <f>IFERROR(IF(G10="","",IF(AND(_xlfn.ISFORMULA(G10),EXACT(G10,G12)),Rng_Lkp_AnswerStatus_Good,Rng_Lkp_AnswerStatus_Bad)),Rng_Lkp_AnswerStatus_Bad)</f>
        <v/>
      </c>
    </row>
    <row r="12" spans="1:7" hidden="1" outlineLevel="1" x14ac:dyDescent="0.25">
      <c r="C12" s="161" t="s">
        <v>0</v>
      </c>
      <c r="D12" s="74">
        <f>SUM(Tbl_A1_RelRef_01[Payment 01])</f>
        <v>2135</v>
      </c>
      <c r="E12" s="74">
        <f>SUM(Tbl_A1_RelRef_01[Payment 02])</f>
        <v>1353</v>
      </c>
      <c r="F12" s="74">
        <f>SUM(Tbl_A1_RelRef_01[Payment 03])</f>
        <v>1602</v>
      </c>
      <c r="G12" s="74">
        <f>SUM(Tbl_A1_RelRef_01[Payment 04])</f>
        <v>1922</v>
      </c>
    </row>
    <row r="13" spans="1:7" collapsed="1" x14ac:dyDescent="0.25"/>
  </sheetData>
  <conditionalFormatting sqref="B11 B4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D11:G11">
    <cfRule type="cellIs" dxfId="351" priority="4" operator="equal">
      <formula>Rng_Lkp_AnswerStatus_Bad</formula>
    </cfRule>
    <cfRule type="cellIs" dxfId="350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3D05-A213-4EC4-A704-DB6572896521}">
  <sheetPr>
    <tabColor theme="2" tint="-0.249977111117893"/>
  </sheetPr>
  <dimension ref="A1:N33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7" style="8" bestFit="1" customWidth="1"/>
    <col min="4" max="4" width="8.140625" style="8" bestFit="1" customWidth="1"/>
    <col min="5" max="5" width="10.7109375" style="8" bestFit="1" customWidth="1"/>
    <col min="6" max="6" width="8.140625" style="8" bestFit="1" customWidth="1"/>
    <col min="7" max="7" width="12.85546875" style="8" hidden="1" customWidth="1" outlineLevel="1"/>
    <col min="8" max="8" width="11" style="8" bestFit="1" customWidth="1" collapsed="1"/>
    <col min="9" max="9" width="8.140625" style="8" bestFit="1" customWidth="1"/>
    <col min="10" max="10" width="9.42578125" style="8" hidden="1" customWidth="1" outlineLevel="1"/>
    <col min="11" max="11" width="13.5703125" style="8" bestFit="1" customWidth="1" collapsed="1"/>
    <col min="12" max="12" width="8.140625" style="8" bestFit="1" customWidth="1"/>
    <col min="13" max="13" width="9.140625" style="8" hidden="1" customWidth="1" outlineLevel="1"/>
    <col min="14" max="14" width="9.140625" style="8" collapsed="1"/>
    <col min="15" max="16384" width="9.140625" style="8"/>
  </cols>
  <sheetData>
    <row r="1" spans="1:13" s="6" customFormat="1" ht="21" x14ac:dyDescent="0.35">
      <c r="A1" s="35"/>
      <c r="B1" s="3"/>
      <c r="D1" s="40"/>
      <c r="E1" s="40" t="s">
        <v>95</v>
      </c>
    </row>
    <row r="2" spans="1:13" s="6" customFormat="1" ht="18.75" x14ac:dyDescent="0.3">
      <c r="A2" s="36"/>
      <c r="B2" s="7"/>
      <c r="D2" s="41"/>
      <c r="E2" s="41" t="s">
        <v>24</v>
      </c>
    </row>
    <row r="3" spans="1:13" ht="6.95" customHeight="1" x14ac:dyDescent="0.25"/>
    <row r="4" spans="1:13" x14ac:dyDescent="0.25">
      <c r="E4" s="76" t="s">
        <v>104</v>
      </c>
      <c r="F4" s="81">
        <v>0.05</v>
      </c>
      <c r="H4" s="76" t="s">
        <v>105</v>
      </c>
      <c r="I4" s="83">
        <v>8.8749999999999996E-2</v>
      </c>
      <c r="K4" s="76" t="s">
        <v>106</v>
      </c>
      <c r="L4" s="82">
        <v>107.94</v>
      </c>
    </row>
    <row r="5" spans="1:13" ht="6.95" customHeight="1" x14ac:dyDescent="0.25"/>
    <row r="6" spans="1:13" x14ac:dyDescent="0.25">
      <c r="D6" s="11" t="s">
        <v>22</v>
      </c>
      <c r="E6" s="21">
        <v>1</v>
      </c>
      <c r="F6" s="12"/>
      <c r="G6" s="12"/>
      <c r="H6" s="21">
        <v>2</v>
      </c>
      <c r="I6" s="12"/>
      <c r="J6" s="12"/>
      <c r="K6" s="21">
        <v>3</v>
      </c>
      <c r="L6" s="12"/>
      <c r="M6" s="12"/>
    </row>
    <row r="7" spans="1:13" hidden="1" outlineLevel="1" x14ac:dyDescent="0.25">
      <c r="B7" s="25" t="str">
        <f>IFERROR(IF(SUMIFS(E7:M7,E6:M6,"&gt;=0")=0,"",SUMIFS(E7:M7,E6:M6,"&gt;=0")/SUMIFS(E7:M7,E8:M8,"ANSWER")),"")</f>
        <v/>
      </c>
      <c r="C7" s="22" t="s">
        <v>8</v>
      </c>
      <c r="D7" s="11"/>
      <c r="E7" s="23">
        <f>IFERROR(COUNTA(Tbl_A2_AbsRef_01[Invoice Discount Amount]),"")</f>
        <v>0</v>
      </c>
      <c r="F7" s="24">
        <f>IFERROR(COUNTIF(Tbl_A2_AbsRef_01[Answer Status Q01],Rng_Lkp_AnswerStatus_Good),"")</f>
        <v>0</v>
      </c>
      <c r="G7" s="24">
        <f>IFERROR(COUNTA(Tbl_A2_AbsRef_01[Invoice Discount Amount ANS]),"")</f>
        <v>24</v>
      </c>
      <c r="H7" s="23">
        <f>IFERROR(COUNTA(Tbl_A2_AbsRef_01[Invoice Sales Tax]),"")</f>
        <v>0</v>
      </c>
      <c r="I7" s="24">
        <f>IFERROR(COUNTIF(Tbl_A2_AbsRef_01[Answer Status Q02],Rng_Lkp_AnswerStatus_Good),"")</f>
        <v>0</v>
      </c>
      <c r="J7" s="24">
        <f>IFERROR(COUNTA(Tbl_A2_AbsRef_01[Invoice Sales Tax ANS]),"")</f>
        <v>24</v>
      </c>
      <c r="K7" s="23">
        <f>IFERROR(COUNTA(Tbl_A2_AbsRef_01[Invoice Amount JPY]),"")</f>
        <v>0</v>
      </c>
      <c r="L7" s="24">
        <f>IFERROR(COUNTIF(Tbl_A2_AbsRef_01[Answer Status Q03],Rng_Lkp_AnswerStatus_Good),"")</f>
        <v>0</v>
      </c>
      <c r="M7" s="24">
        <f>IFERROR(COUNTA(Tbl_A2_AbsRef_01[Invoice Amount JPY ANS]),"")</f>
        <v>24</v>
      </c>
    </row>
    <row r="8" spans="1:13" collapsed="1" x14ac:dyDescent="0.25">
      <c r="B8" s="25" t="str">
        <f>IFERROR(IF(SUMIFS(E7:M7,E6:M6,"&gt;=0")=0,"",SUMIFS(E7:M7,E8:M8,"&gt;=0", E8:M8,"&lt;=1")/SUMIFS(E7:M7,E6:M6,"&gt;0")),"")</f>
        <v/>
      </c>
      <c r="C8" s="22" t="s">
        <v>9</v>
      </c>
      <c r="E8" s="43" t="s">
        <v>107</v>
      </c>
      <c r="F8" s="20" t="str">
        <f>IFERROR(F7/E7,"")</f>
        <v/>
      </c>
      <c r="G8" s="13" t="s">
        <v>0</v>
      </c>
      <c r="H8" s="43" t="s">
        <v>107</v>
      </c>
      <c r="I8" s="20" t="str">
        <f>IFERROR(I7/H7,"")</f>
        <v/>
      </c>
      <c r="J8" s="13" t="s">
        <v>0</v>
      </c>
      <c r="K8" s="43" t="s">
        <v>107</v>
      </c>
      <c r="L8" s="20" t="str">
        <f>IFERROR(L7/K7,"")</f>
        <v/>
      </c>
      <c r="M8" s="13" t="s">
        <v>0</v>
      </c>
    </row>
    <row r="9" spans="1:13" ht="45" x14ac:dyDescent="0.25">
      <c r="B9" s="15" t="s">
        <v>20</v>
      </c>
      <c r="C9" s="15" t="s">
        <v>75</v>
      </c>
      <c r="D9" s="26" t="s">
        <v>108</v>
      </c>
      <c r="E9" s="16" t="s">
        <v>138</v>
      </c>
      <c r="F9" s="18" t="s">
        <v>4</v>
      </c>
      <c r="G9" s="17" t="s">
        <v>140</v>
      </c>
      <c r="H9" s="16" t="s">
        <v>139</v>
      </c>
      <c r="I9" s="18" t="s">
        <v>5</v>
      </c>
      <c r="J9" s="17" t="s">
        <v>141</v>
      </c>
      <c r="K9" s="16" t="s">
        <v>109</v>
      </c>
      <c r="L9" s="18" t="s">
        <v>6</v>
      </c>
      <c r="M9" s="17" t="s">
        <v>110</v>
      </c>
    </row>
    <row r="10" spans="1:13" x14ac:dyDescent="0.25">
      <c r="B10" s="9">
        <v>1</v>
      </c>
      <c r="C10" s="10" t="s">
        <v>111</v>
      </c>
      <c r="D10" s="34">
        <v>590</v>
      </c>
      <c r="E10" s="37"/>
      <c r="F10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0" s="48">
        <f>Tbl_A2_AbsRef_01[[#This Row],[Invoice Amount]]*$F$4</f>
        <v>29.5</v>
      </c>
      <c r="H10" s="37"/>
      <c r="I10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0" s="39">
        <f>Tbl_A2_AbsRef_01[[#This Row],[Invoice Amount]]*$I$4</f>
        <v>52.362499999999997</v>
      </c>
      <c r="K10" s="79"/>
      <c r="L10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0" s="77">
        <f>Tbl_A2_AbsRef_01[[#This Row],[Invoice Amount]]*$L$4</f>
        <v>63684.6</v>
      </c>
    </row>
    <row r="11" spans="1:13" x14ac:dyDescent="0.25">
      <c r="B11" s="9">
        <v>2</v>
      </c>
      <c r="C11" s="10" t="s">
        <v>112</v>
      </c>
      <c r="D11" s="34">
        <v>675</v>
      </c>
      <c r="E11" s="38"/>
      <c r="F11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1" s="48">
        <f>Tbl_A2_AbsRef_01[[#This Row],[Invoice Amount]]*$F$4</f>
        <v>33.75</v>
      </c>
      <c r="H11" s="38"/>
      <c r="I11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1" s="39">
        <f>Tbl_A2_AbsRef_01[[#This Row],[Invoice Amount]]*$I$4</f>
        <v>59.90625</v>
      </c>
      <c r="K11" s="79"/>
      <c r="L11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1" s="77">
        <f>Tbl_A2_AbsRef_01[[#This Row],[Invoice Amount]]*$L$4</f>
        <v>72859.5</v>
      </c>
    </row>
    <row r="12" spans="1:13" x14ac:dyDescent="0.25">
      <c r="B12" s="9">
        <v>3</v>
      </c>
      <c r="C12" s="10" t="s">
        <v>113</v>
      </c>
      <c r="D12" s="34">
        <v>390</v>
      </c>
      <c r="E12" s="38"/>
      <c r="F12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2" s="48">
        <f>Tbl_A2_AbsRef_01[[#This Row],[Invoice Amount]]*$F$4</f>
        <v>19.5</v>
      </c>
      <c r="H12" s="38"/>
      <c r="I12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2" s="39">
        <f>Tbl_A2_AbsRef_01[[#This Row],[Invoice Amount]]*$I$4</f>
        <v>34.612499999999997</v>
      </c>
      <c r="K12" s="79"/>
      <c r="L12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2" s="77">
        <f>Tbl_A2_AbsRef_01[[#This Row],[Invoice Amount]]*$L$4</f>
        <v>42096.6</v>
      </c>
    </row>
    <row r="13" spans="1:13" x14ac:dyDescent="0.25">
      <c r="B13" s="9">
        <v>4</v>
      </c>
      <c r="C13" s="10" t="s">
        <v>114</v>
      </c>
      <c r="D13" s="34">
        <v>480</v>
      </c>
      <c r="E13" s="38"/>
      <c r="F13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3" s="48">
        <f>Tbl_A2_AbsRef_01[[#This Row],[Invoice Amount]]*$F$4</f>
        <v>24</v>
      </c>
      <c r="H13" s="38"/>
      <c r="I13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3" s="39">
        <f>Tbl_A2_AbsRef_01[[#This Row],[Invoice Amount]]*$I$4</f>
        <v>42.599999999999994</v>
      </c>
      <c r="K13" s="79"/>
      <c r="L13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3" s="77">
        <f>Tbl_A2_AbsRef_01[[#This Row],[Invoice Amount]]*$L$4</f>
        <v>51811.199999999997</v>
      </c>
    </row>
    <row r="14" spans="1:13" x14ac:dyDescent="0.25">
      <c r="B14" s="9">
        <v>5</v>
      </c>
      <c r="C14" s="10" t="s">
        <v>115</v>
      </c>
      <c r="D14" s="34">
        <v>530</v>
      </c>
      <c r="E14" s="38"/>
      <c r="F14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4" s="48">
        <f>Tbl_A2_AbsRef_01[[#This Row],[Invoice Amount]]*$F$4</f>
        <v>26.5</v>
      </c>
      <c r="H14" s="38"/>
      <c r="I14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4" s="39">
        <f>Tbl_A2_AbsRef_01[[#This Row],[Invoice Amount]]*$I$4</f>
        <v>47.037499999999994</v>
      </c>
      <c r="K14" s="79"/>
      <c r="L14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4" s="77">
        <f>Tbl_A2_AbsRef_01[[#This Row],[Invoice Amount]]*$L$4</f>
        <v>57208.2</v>
      </c>
    </row>
    <row r="15" spans="1:13" x14ac:dyDescent="0.25">
      <c r="B15" s="9">
        <v>6</v>
      </c>
      <c r="C15" s="10" t="s">
        <v>116</v>
      </c>
      <c r="D15" s="34">
        <v>1045</v>
      </c>
      <c r="E15" s="38"/>
      <c r="F15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5" s="48">
        <f>Tbl_A2_AbsRef_01[[#This Row],[Invoice Amount]]*$F$4</f>
        <v>52.25</v>
      </c>
      <c r="H15" s="38"/>
      <c r="I15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5" s="39">
        <f>Tbl_A2_AbsRef_01[[#This Row],[Invoice Amount]]*$I$4</f>
        <v>92.743749999999991</v>
      </c>
      <c r="K15" s="79"/>
      <c r="L15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5" s="77">
        <f>Tbl_A2_AbsRef_01[[#This Row],[Invoice Amount]]*$L$4</f>
        <v>112797.3</v>
      </c>
    </row>
    <row r="16" spans="1:13" x14ac:dyDescent="0.25">
      <c r="B16" s="9">
        <v>7</v>
      </c>
      <c r="C16" s="10" t="s">
        <v>117</v>
      </c>
      <c r="D16" s="34">
        <v>1650</v>
      </c>
      <c r="E16" s="38"/>
      <c r="F16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6" s="48">
        <f>Tbl_A2_AbsRef_01[[#This Row],[Invoice Amount]]*$F$4</f>
        <v>82.5</v>
      </c>
      <c r="H16" s="38"/>
      <c r="I16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6" s="39">
        <f>Tbl_A2_AbsRef_01[[#This Row],[Invoice Amount]]*$I$4</f>
        <v>146.4375</v>
      </c>
      <c r="K16" s="79"/>
      <c r="L16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6" s="77">
        <f>Tbl_A2_AbsRef_01[[#This Row],[Invoice Amount]]*$L$4</f>
        <v>178101</v>
      </c>
    </row>
    <row r="17" spans="2:13" x14ac:dyDescent="0.25">
      <c r="B17" s="9">
        <v>8</v>
      </c>
      <c r="C17" s="10" t="s">
        <v>118</v>
      </c>
      <c r="D17" s="34">
        <v>1545</v>
      </c>
      <c r="E17" s="38"/>
      <c r="F17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7" s="48">
        <f>Tbl_A2_AbsRef_01[[#This Row],[Invoice Amount]]*$F$4</f>
        <v>77.25</v>
      </c>
      <c r="H17" s="38"/>
      <c r="I17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7" s="39">
        <f>Tbl_A2_AbsRef_01[[#This Row],[Invoice Amount]]*$I$4</f>
        <v>137.11875000000001</v>
      </c>
      <c r="K17" s="79"/>
      <c r="L17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7" s="77">
        <f>Tbl_A2_AbsRef_01[[#This Row],[Invoice Amount]]*$L$4</f>
        <v>166767.29999999999</v>
      </c>
    </row>
    <row r="18" spans="2:13" x14ac:dyDescent="0.25">
      <c r="B18" s="9">
        <v>9</v>
      </c>
      <c r="C18" s="10" t="s">
        <v>119</v>
      </c>
      <c r="D18" s="34">
        <v>700</v>
      </c>
      <c r="E18" s="38"/>
      <c r="F18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8" s="48">
        <f>Tbl_A2_AbsRef_01[[#This Row],[Invoice Amount]]*$F$4</f>
        <v>35</v>
      </c>
      <c r="H18" s="38"/>
      <c r="I18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8" s="39">
        <f>Tbl_A2_AbsRef_01[[#This Row],[Invoice Amount]]*$I$4</f>
        <v>62.125</v>
      </c>
      <c r="K18" s="79"/>
      <c r="L18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8" s="77">
        <f>Tbl_A2_AbsRef_01[[#This Row],[Invoice Amount]]*$L$4</f>
        <v>75558</v>
      </c>
    </row>
    <row r="19" spans="2:13" x14ac:dyDescent="0.25">
      <c r="B19" s="9">
        <v>10</v>
      </c>
      <c r="C19" s="10" t="s">
        <v>120</v>
      </c>
      <c r="D19" s="34">
        <v>1315</v>
      </c>
      <c r="E19" s="44"/>
      <c r="F19" s="19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19" s="49">
        <f>Tbl_A2_AbsRef_01[[#This Row],[Invoice Amount]]*$F$4</f>
        <v>65.75</v>
      </c>
      <c r="H19" s="44"/>
      <c r="I19" s="19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19" s="45">
        <f>Tbl_A2_AbsRef_01[[#This Row],[Invoice Amount]]*$I$4</f>
        <v>116.70625</v>
      </c>
      <c r="K19" s="80"/>
      <c r="L19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19" s="78">
        <f>Tbl_A2_AbsRef_01[[#This Row],[Invoice Amount]]*$L$4</f>
        <v>141941.1</v>
      </c>
    </row>
    <row r="20" spans="2:13" x14ac:dyDescent="0.25">
      <c r="B20" s="9">
        <v>11</v>
      </c>
      <c r="C20" s="10" t="s">
        <v>121</v>
      </c>
      <c r="D20" s="34">
        <v>865</v>
      </c>
      <c r="E20" s="44"/>
      <c r="F20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0" s="50">
        <f>Tbl_A2_AbsRef_01[[#This Row],[Invoice Amount]]*$F$4</f>
        <v>43.25</v>
      </c>
      <c r="H20" s="42"/>
      <c r="I20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0" s="47">
        <f>Tbl_A2_AbsRef_01[[#This Row],[Invoice Amount]]*$I$4</f>
        <v>76.768749999999997</v>
      </c>
      <c r="K20" s="80"/>
      <c r="L20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0" s="78">
        <f>Tbl_A2_AbsRef_01[[#This Row],[Invoice Amount]]*$L$4</f>
        <v>93368.099999999991</v>
      </c>
    </row>
    <row r="21" spans="2:13" x14ac:dyDescent="0.25">
      <c r="B21" s="9">
        <v>12</v>
      </c>
      <c r="C21" s="10" t="s">
        <v>122</v>
      </c>
      <c r="D21" s="34">
        <v>1865</v>
      </c>
      <c r="E21" s="44"/>
      <c r="F21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1" s="50">
        <f>Tbl_A2_AbsRef_01[[#This Row],[Invoice Amount]]*$F$4</f>
        <v>93.25</v>
      </c>
      <c r="H21" s="42"/>
      <c r="I21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1" s="47">
        <f>Tbl_A2_AbsRef_01[[#This Row],[Invoice Amount]]*$I$4</f>
        <v>165.51874999999998</v>
      </c>
      <c r="K21" s="80"/>
      <c r="L21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1" s="78">
        <f>Tbl_A2_AbsRef_01[[#This Row],[Invoice Amount]]*$L$4</f>
        <v>201308.1</v>
      </c>
    </row>
    <row r="22" spans="2:13" x14ac:dyDescent="0.25">
      <c r="B22" s="9">
        <v>13</v>
      </c>
      <c r="C22" s="10" t="s">
        <v>123</v>
      </c>
      <c r="D22" s="34">
        <v>820</v>
      </c>
      <c r="E22" s="44"/>
      <c r="F22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2" s="50">
        <f>Tbl_A2_AbsRef_01[[#This Row],[Invoice Amount]]*$F$4</f>
        <v>41</v>
      </c>
      <c r="H22" s="42"/>
      <c r="I22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2" s="47">
        <f>Tbl_A2_AbsRef_01[[#This Row],[Invoice Amount]]*$I$4</f>
        <v>72.774999999999991</v>
      </c>
      <c r="K22" s="80"/>
      <c r="L22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2" s="78">
        <f>Tbl_A2_AbsRef_01[[#This Row],[Invoice Amount]]*$L$4</f>
        <v>88510.8</v>
      </c>
    </row>
    <row r="23" spans="2:13" x14ac:dyDescent="0.25">
      <c r="B23" s="9">
        <v>14</v>
      </c>
      <c r="C23" s="10" t="s">
        <v>124</v>
      </c>
      <c r="D23" s="34">
        <v>1240</v>
      </c>
      <c r="E23" s="44"/>
      <c r="F23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3" s="50">
        <f>Tbl_A2_AbsRef_01[[#This Row],[Invoice Amount]]*$F$4</f>
        <v>62</v>
      </c>
      <c r="H23" s="42"/>
      <c r="I23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3" s="47">
        <f>Tbl_A2_AbsRef_01[[#This Row],[Invoice Amount]]*$I$4</f>
        <v>110.05</v>
      </c>
      <c r="K23" s="80"/>
      <c r="L23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3" s="78">
        <f>Tbl_A2_AbsRef_01[[#This Row],[Invoice Amount]]*$L$4</f>
        <v>133845.6</v>
      </c>
    </row>
    <row r="24" spans="2:13" x14ac:dyDescent="0.25">
      <c r="B24" s="9">
        <v>15</v>
      </c>
      <c r="C24" s="10" t="s">
        <v>125</v>
      </c>
      <c r="D24" s="34">
        <v>525</v>
      </c>
      <c r="E24" s="44"/>
      <c r="F24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4" s="50">
        <f>Tbl_A2_AbsRef_01[[#This Row],[Invoice Amount]]*$F$4</f>
        <v>26.25</v>
      </c>
      <c r="H24" s="42"/>
      <c r="I24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4" s="47">
        <f>Tbl_A2_AbsRef_01[[#This Row],[Invoice Amount]]*$I$4</f>
        <v>46.59375</v>
      </c>
      <c r="K24" s="80"/>
      <c r="L24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4" s="78">
        <f>Tbl_A2_AbsRef_01[[#This Row],[Invoice Amount]]*$L$4</f>
        <v>56668.5</v>
      </c>
    </row>
    <row r="25" spans="2:13" x14ac:dyDescent="0.25">
      <c r="B25" s="9">
        <v>16</v>
      </c>
      <c r="C25" s="10" t="s">
        <v>126</v>
      </c>
      <c r="D25" s="34">
        <v>490</v>
      </c>
      <c r="E25" s="44"/>
      <c r="F25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5" s="50">
        <f>Tbl_A2_AbsRef_01[[#This Row],[Invoice Amount]]*$F$4</f>
        <v>24.5</v>
      </c>
      <c r="H25" s="42"/>
      <c r="I25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5" s="47">
        <f>Tbl_A2_AbsRef_01[[#This Row],[Invoice Amount]]*$I$4</f>
        <v>43.487499999999997</v>
      </c>
      <c r="K25" s="80"/>
      <c r="L25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5" s="78">
        <f>Tbl_A2_AbsRef_01[[#This Row],[Invoice Amount]]*$L$4</f>
        <v>52890.6</v>
      </c>
    </row>
    <row r="26" spans="2:13" x14ac:dyDescent="0.25">
      <c r="B26" s="9">
        <v>17</v>
      </c>
      <c r="C26" s="10" t="s">
        <v>127</v>
      </c>
      <c r="D26" s="34">
        <v>555</v>
      </c>
      <c r="E26" s="44"/>
      <c r="F26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6" s="50">
        <f>Tbl_A2_AbsRef_01[[#This Row],[Invoice Amount]]*$F$4</f>
        <v>27.75</v>
      </c>
      <c r="H26" s="42"/>
      <c r="I26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6" s="47">
        <f>Tbl_A2_AbsRef_01[[#This Row],[Invoice Amount]]*$I$4</f>
        <v>49.256249999999994</v>
      </c>
      <c r="K26" s="80"/>
      <c r="L26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6" s="78">
        <f>Tbl_A2_AbsRef_01[[#This Row],[Invoice Amount]]*$L$4</f>
        <v>59906.7</v>
      </c>
    </row>
    <row r="27" spans="2:13" x14ac:dyDescent="0.25">
      <c r="B27" s="9">
        <v>18</v>
      </c>
      <c r="C27" s="10" t="s">
        <v>128</v>
      </c>
      <c r="D27" s="34">
        <v>855</v>
      </c>
      <c r="E27" s="44"/>
      <c r="F27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7" s="50">
        <f>Tbl_A2_AbsRef_01[[#This Row],[Invoice Amount]]*$F$4</f>
        <v>42.75</v>
      </c>
      <c r="H27" s="42"/>
      <c r="I27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7" s="47">
        <f>Tbl_A2_AbsRef_01[[#This Row],[Invoice Amount]]*$I$4</f>
        <v>75.881249999999994</v>
      </c>
      <c r="K27" s="80"/>
      <c r="L27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7" s="78">
        <f>Tbl_A2_AbsRef_01[[#This Row],[Invoice Amount]]*$L$4</f>
        <v>92288.7</v>
      </c>
    </row>
    <row r="28" spans="2:13" x14ac:dyDescent="0.25">
      <c r="B28" s="9">
        <v>19</v>
      </c>
      <c r="C28" s="10" t="s">
        <v>129</v>
      </c>
      <c r="D28" s="34">
        <v>570</v>
      </c>
      <c r="E28" s="44"/>
      <c r="F28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8" s="50">
        <f>Tbl_A2_AbsRef_01[[#This Row],[Invoice Amount]]*$F$4</f>
        <v>28.5</v>
      </c>
      <c r="H28" s="42"/>
      <c r="I28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8" s="47">
        <f>Tbl_A2_AbsRef_01[[#This Row],[Invoice Amount]]*$I$4</f>
        <v>50.587499999999999</v>
      </c>
      <c r="K28" s="80"/>
      <c r="L28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8" s="78">
        <f>Tbl_A2_AbsRef_01[[#This Row],[Invoice Amount]]*$L$4</f>
        <v>61525.799999999996</v>
      </c>
    </row>
    <row r="29" spans="2:13" x14ac:dyDescent="0.25">
      <c r="B29" s="9">
        <v>20</v>
      </c>
      <c r="C29" s="10" t="s">
        <v>130</v>
      </c>
      <c r="D29" s="34">
        <v>1600</v>
      </c>
      <c r="E29" s="44"/>
      <c r="F29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29" s="50">
        <f>Tbl_A2_AbsRef_01[[#This Row],[Invoice Amount]]*$F$4</f>
        <v>80</v>
      </c>
      <c r="H29" s="42"/>
      <c r="I29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29" s="47">
        <f>Tbl_A2_AbsRef_01[[#This Row],[Invoice Amount]]*$I$4</f>
        <v>142</v>
      </c>
      <c r="K29" s="80"/>
      <c r="L29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29" s="78">
        <f>Tbl_A2_AbsRef_01[[#This Row],[Invoice Amount]]*$L$4</f>
        <v>172704</v>
      </c>
    </row>
    <row r="30" spans="2:13" x14ac:dyDescent="0.25">
      <c r="B30" s="9">
        <v>21</v>
      </c>
      <c r="C30" s="10" t="s">
        <v>131</v>
      </c>
      <c r="D30" s="34">
        <v>350</v>
      </c>
      <c r="E30" s="44"/>
      <c r="F30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30" s="50">
        <f>Tbl_A2_AbsRef_01[[#This Row],[Invoice Amount]]*$F$4</f>
        <v>17.5</v>
      </c>
      <c r="H30" s="42"/>
      <c r="I30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30" s="47">
        <f>Tbl_A2_AbsRef_01[[#This Row],[Invoice Amount]]*$I$4</f>
        <v>31.0625</v>
      </c>
      <c r="K30" s="80"/>
      <c r="L30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30" s="78">
        <f>Tbl_A2_AbsRef_01[[#This Row],[Invoice Amount]]*$L$4</f>
        <v>37779</v>
      </c>
    </row>
    <row r="31" spans="2:13" x14ac:dyDescent="0.25">
      <c r="B31" s="9">
        <v>22</v>
      </c>
      <c r="C31" s="10" t="s">
        <v>132</v>
      </c>
      <c r="D31" s="34">
        <v>1605</v>
      </c>
      <c r="E31" s="44"/>
      <c r="F31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31" s="50">
        <f>Tbl_A2_AbsRef_01[[#This Row],[Invoice Amount]]*$F$4</f>
        <v>80.25</v>
      </c>
      <c r="H31" s="42"/>
      <c r="I31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31" s="47">
        <f>Tbl_A2_AbsRef_01[[#This Row],[Invoice Amount]]*$I$4</f>
        <v>142.44374999999999</v>
      </c>
      <c r="K31" s="80"/>
      <c r="L31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31" s="78">
        <f>Tbl_A2_AbsRef_01[[#This Row],[Invoice Amount]]*$L$4</f>
        <v>173243.69999999998</v>
      </c>
    </row>
    <row r="32" spans="2:13" x14ac:dyDescent="0.25">
      <c r="B32" s="9">
        <v>23</v>
      </c>
      <c r="C32" s="10" t="s">
        <v>133</v>
      </c>
      <c r="D32" s="34">
        <v>1185</v>
      </c>
      <c r="E32" s="44"/>
      <c r="F32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32" s="50">
        <f>Tbl_A2_AbsRef_01[[#This Row],[Invoice Amount]]*$F$4</f>
        <v>59.25</v>
      </c>
      <c r="H32" s="42"/>
      <c r="I32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32" s="47">
        <f>Tbl_A2_AbsRef_01[[#This Row],[Invoice Amount]]*$I$4</f>
        <v>105.16874999999999</v>
      </c>
      <c r="K32" s="80"/>
      <c r="L32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32" s="78">
        <f>Tbl_A2_AbsRef_01[[#This Row],[Invoice Amount]]*$L$4</f>
        <v>127908.9</v>
      </c>
    </row>
    <row r="33" spans="2:13" x14ac:dyDescent="0.25">
      <c r="B33" s="9">
        <v>24</v>
      </c>
      <c r="C33" s="10" t="s">
        <v>134</v>
      </c>
      <c r="D33" s="34">
        <v>555</v>
      </c>
      <c r="E33" s="44"/>
      <c r="F33" s="46" t="str">
        <f>IFERROR(IF(Tbl_A2_AbsRef_01[[#This Row],[Invoice Discount Amount]]="","",IF(AND(_xlfn.ISFORMULA(Tbl_A2_AbsRef_01[[#This Row],[Invoice Discount Amount]]),EXACT(Tbl_A2_AbsRef_01[[#This Row],[Invoice Discount Amount]],Tbl_A2_AbsRef_01[[#This Row],[Invoice Discount Amount ANS]])),Rng_Lkp_AnswerStatus_Good,Rng_Lkp_AnswerStatus_Bad)),Rng_Lkp_AnswerStatus_Bad)</f>
        <v/>
      </c>
      <c r="G33" s="50">
        <f>Tbl_A2_AbsRef_01[[#This Row],[Invoice Amount]]*$F$4</f>
        <v>27.75</v>
      </c>
      <c r="H33" s="42"/>
      <c r="I33" s="46" t="str">
        <f>IFERROR(IF(Tbl_A2_AbsRef_01[[#This Row],[Invoice Sales Tax]]="","",IF(AND(_xlfn.ISFORMULA(Tbl_A2_AbsRef_01[[#This Row],[Invoice Sales Tax]]),EXACT(Tbl_A2_AbsRef_01[[#This Row],[Invoice Sales Tax]],Tbl_A2_AbsRef_01[[#This Row],[Invoice Sales Tax ANS]])),Rng_Lkp_AnswerStatus_Good,Rng_Lkp_AnswerStatus_Bad)),Rng_Lkp_AnswerStatus_Bad)</f>
        <v/>
      </c>
      <c r="J33" s="47">
        <f>Tbl_A2_AbsRef_01[[#This Row],[Invoice Amount]]*$I$4</f>
        <v>49.256249999999994</v>
      </c>
      <c r="K33" s="80"/>
      <c r="L33" s="19" t="str">
        <f>IFERROR(IF(Tbl_A2_AbsRef_01[[#This Row],[Invoice Amount JPY]]="","",IF(AND(_xlfn.ISFORMULA(Tbl_A2_AbsRef_01[[#This Row],[Invoice Amount JPY]]),EXACT(Tbl_A2_AbsRef_01[[#This Row],[Invoice Amount JPY]],Tbl_A2_AbsRef_01[[#This Row],[Invoice Amount JPY ANS]])),Rng_Lkp_AnswerStatus_Good,Rng_Lkp_AnswerStatus_Bad)),Rng_Lkp_AnswerStatus_Bad)</f>
        <v/>
      </c>
      <c r="M33" s="78">
        <f>Tbl_A2_AbsRef_01[[#This Row],[Invoice Amount]]*$L$4</f>
        <v>59906.7</v>
      </c>
    </row>
  </sheetData>
  <conditionalFormatting sqref="B7:B8 F8 I8 L8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M33">
    <cfRule type="cellIs" dxfId="338" priority="4" operator="equal">
      <formula>Rng_Lkp_AnswerStatus_Bad</formula>
    </cfRule>
    <cfRule type="cellIs" dxfId="337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E256B-ACD3-43C1-83B9-EBA3FBEE4799}">
  <sheetPr>
    <tabColor theme="2" tint="-0.249977111117893"/>
  </sheetPr>
  <dimension ref="A1:V12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outlineLevelCol="1" x14ac:dyDescent="0.25"/>
  <cols>
    <col min="1" max="1" width="2.5703125" style="8" customWidth="1"/>
    <col min="2" max="7" width="5.7109375" style="8" customWidth="1"/>
    <col min="8" max="8" width="2.7109375" style="8" customWidth="1"/>
    <col min="9" max="9" width="5.7109375" style="8" customWidth="1"/>
    <col min="10" max="14" width="7.42578125" style="8" bestFit="1" customWidth="1"/>
    <col min="15" max="15" width="2.7109375" style="8" customWidth="1"/>
    <col min="16" max="21" width="5.7109375" style="8" hidden="1" customWidth="1" outlineLevel="1"/>
    <col min="22" max="22" width="9.140625" style="8" collapsed="1"/>
    <col min="23" max="16384" width="9.140625" style="8"/>
  </cols>
  <sheetData>
    <row r="1" spans="1:21" s="6" customFormat="1" ht="21" x14ac:dyDescent="0.35">
      <c r="A1" s="35"/>
      <c r="B1" s="3"/>
      <c r="D1" s="40"/>
      <c r="E1" s="40"/>
      <c r="F1" s="40" t="s">
        <v>96</v>
      </c>
    </row>
    <row r="2" spans="1:21" s="6" customFormat="1" ht="18.75" x14ac:dyDescent="0.3">
      <c r="A2" s="36"/>
      <c r="B2" s="7"/>
      <c r="D2" s="41"/>
      <c r="E2" s="41"/>
      <c r="F2" s="41" t="s">
        <v>24</v>
      </c>
    </row>
    <row r="3" spans="1:21" ht="6.95" customHeight="1" x14ac:dyDescent="0.25"/>
    <row r="4" spans="1:21" ht="18.75" x14ac:dyDescent="0.3">
      <c r="A4" s="84"/>
      <c r="B4" s="64" t="s">
        <v>135</v>
      </c>
    </row>
    <row r="5" spans="1:21" x14ac:dyDescent="0.25">
      <c r="I5" s="99" t="str">
        <f>IFERROR(COUNTIF(J8:N12,Rng_Lkp_AnswerStatus_Good)/COUNTA(C8:G12),"")</f>
        <v/>
      </c>
      <c r="J5" s="76" t="s">
        <v>9</v>
      </c>
    </row>
    <row r="6" spans="1:21" x14ac:dyDescent="0.25">
      <c r="I6" s="85"/>
      <c r="J6" s="86" t="s">
        <v>136</v>
      </c>
      <c r="K6" s="86"/>
      <c r="L6" s="86"/>
      <c r="M6" s="86"/>
      <c r="N6" s="86"/>
      <c r="P6" s="94"/>
      <c r="Q6" s="95" t="s">
        <v>136</v>
      </c>
      <c r="R6" s="95"/>
      <c r="S6" s="95"/>
      <c r="T6" s="95"/>
      <c r="U6" s="95"/>
    </row>
    <row r="7" spans="1:21" x14ac:dyDescent="0.25">
      <c r="B7" s="87"/>
      <c r="C7" s="88">
        <v>5</v>
      </c>
      <c r="D7" s="88">
        <v>10</v>
      </c>
      <c r="E7" s="88">
        <v>15</v>
      </c>
      <c r="F7" s="88">
        <v>20</v>
      </c>
      <c r="G7" s="88">
        <v>25</v>
      </c>
      <c r="I7" s="91"/>
      <c r="J7" s="92">
        <v>5</v>
      </c>
      <c r="K7" s="92">
        <v>10</v>
      </c>
      <c r="L7" s="92">
        <v>15</v>
      </c>
      <c r="M7" s="92">
        <v>20</v>
      </c>
      <c r="N7" s="92">
        <v>25</v>
      </c>
      <c r="P7" s="96"/>
      <c r="Q7" s="97">
        <v>5</v>
      </c>
      <c r="R7" s="97">
        <v>10</v>
      </c>
      <c r="S7" s="97">
        <v>15</v>
      </c>
      <c r="T7" s="97">
        <v>20</v>
      </c>
      <c r="U7" s="97">
        <v>25</v>
      </c>
    </row>
    <row r="8" spans="1:21" x14ac:dyDescent="0.25">
      <c r="B8" s="89">
        <v>5</v>
      </c>
      <c r="C8" s="90"/>
      <c r="D8" s="90"/>
      <c r="E8" s="90"/>
      <c r="F8" s="90"/>
      <c r="G8" s="90"/>
      <c r="I8" s="93">
        <v>5</v>
      </c>
      <c r="J8" s="164" t="str">
        <f t="shared" ref="J8:N12" si="0">IFERROR(IF(C8="","",IF(AND(_xlfn.ISFORMULA(C8),EXACT(C8,Q8)),Rng_Lkp_AnswerStatus_Good,Rng_Lkp_AnswerStatus_Bad)),Rng_Lkp_AnswerStatus_Bad)</f>
        <v/>
      </c>
      <c r="K8" s="164" t="str">
        <f t="shared" si="0"/>
        <v/>
      </c>
      <c r="L8" s="164" t="str">
        <f t="shared" si="0"/>
        <v/>
      </c>
      <c r="M8" s="164" t="str">
        <f t="shared" si="0"/>
        <v/>
      </c>
      <c r="N8" s="164" t="str">
        <f t="shared" si="0"/>
        <v/>
      </c>
      <c r="P8" s="98">
        <v>5</v>
      </c>
      <c r="Q8" s="100">
        <f>$B8*C$7</f>
        <v>25</v>
      </c>
      <c r="R8" s="100">
        <f t="shared" ref="R8:R12" si="1">$B8*D$7</f>
        <v>50</v>
      </c>
      <c r="S8" s="100">
        <f t="shared" ref="S8:S12" si="2">$B8*E$7</f>
        <v>75</v>
      </c>
      <c r="T8" s="100">
        <f t="shared" ref="T8:T12" si="3">$B8*F$7</f>
        <v>100</v>
      </c>
      <c r="U8" s="100">
        <f t="shared" ref="U8:U12" si="4">$B8*G$7</f>
        <v>125</v>
      </c>
    </row>
    <row r="9" spans="1:21" x14ac:dyDescent="0.25">
      <c r="B9" s="89">
        <v>10</v>
      </c>
      <c r="C9" s="90"/>
      <c r="D9" s="90"/>
      <c r="E9" s="90"/>
      <c r="F9" s="90"/>
      <c r="G9" s="90"/>
      <c r="I9" s="93">
        <v>10</v>
      </c>
      <c r="J9" s="164" t="str">
        <f t="shared" si="0"/>
        <v/>
      </c>
      <c r="K9" s="164" t="str">
        <f t="shared" si="0"/>
        <v/>
      </c>
      <c r="L9" s="164" t="str">
        <f t="shared" si="0"/>
        <v/>
      </c>
      <c r="M9" s="164" t="str">
        <f t="shared" si="0"/>
        <v/>
      </c>
      <c r="N9" s="164" t="str">
        <f t="shared" si="0"/>
        <v/>
      </c>
      <c r="P9" s="98">
        <v>10</v>
      </c>
      <c r="Q9" s="100">
        <f t="shared" ref="Q9:Q12" si="5">$B9*C$7</f>
        <v>50</v>
      </c>
      <c r="R9" s="100">
        <f t="shared" si="1"/>
        <v>100</v>
      </c>
      <c r="S9" s="100">
        <f t="shared" si="2"/>
        <v>150</v>
      </c>
      <c r="T9" s="100">
        <f t="shared" si="3"/>
        <v>200</v>
      </c>
      <c r="U9" s="100">
        <f t="shared" si="4"/>
        <v>250</v>
      </c>
    </row>
    <row r="10" spans="1:21" x14ac:dyDescent="0.25">
      <c r="B10" s="89">
        <v>15</v>
      </c>
      <c r="C10" s="90"/>
      <c r="D10" s="90"/>
      <c r="E10" s="90"/>
      <c r="F10" s="90"/>
      <c r="G10" s="90"/>
      <c r="I10" s="93">
        <v>15</v>
      </c>
      <c r="J10" s="164" t="str">
        <f t="shared" si="0"/>
        <v/>
      </c>
      <c r="K10" s="164" t="str">
        <f t="shared" si="0"/>
        <v/>
      </c>
      <c r="L10" s="164" t="str">
        <f t="shared" si="0"/>
        <v/>
      </c>
      <c r="M10" s="164" t="str">
        <f t="shared" si="0"/>
        <v/>
      </c>
      <c r="N10" s="164" t="str">
        <f t="shared" si="0"/>
        <v/>
      </c>
      <c r="P10" s="98">
        <v>15</v>
      </c>
      <c r="Q10" s="100">
        <f t="shared" si="5"/>
        <v>75</v>
      </c>
      <c r="R10" s="100">
        <f t="shared" si="1"/>
        <v>150</v>
      </c>
      <c r="S10" s="100">
        <f t="shared" si="2"/>
        <v>225</v>
      </c>
      <c r="T10" s="100">
        <f t="shared" si="3"/>
        <v>300</v>
      </c>
      <c r="U10" s="100">
        <f t="shared" si="4"/>
        <v>375</v>
      </c>
    </row>
    <row r="11" spans="1:21" x14ac:dyDescent="0.25">
      <c r="B11" s="89">
        <v>20</v>
      </c>
      <c r="C11" s="90"/>
      <c r="D11" s="90"/>
      <c r="E11" s="90"/>
      <c r="F11" s="90"/>
      <c r="G11" s="90"/>
      <c r="I11" s="93">
        <v>20</v>
      </c>
      <c r="J11" s="164" t="str">
        <f t="shared" si="0"/>
        <v/>
      </c>
      <c r="K11" s="164" t="str">
        <f t="shared" si="0"/>
        <v/>
      </c>
      <c r="L11" s="164" t="str">
        <f t="shared" si="0"/>
        <v/>
      </c>
      <c r="M11" s="164" t="str">
        <f t="shared" si="0"/>
        <v/>
      </c>
      <c r="N11" s="164" t="str">
        <f t="shared" si="0"/>
        <v/>
      </c>
      <c r="P11" s="98">
        <v>20</v>
      </c>
      <c r="Q11" s="100">
        <f t="shared" si="5"/>
        <v>100</v>
      </c>
      <c r="R11" s="100">
        <f t="shared" si="1"/>
        <v>200</v>
      </c>
      <c r="S11" s="100">
        <f t="shared" si="2"/>
        <v>300</v>
      </c>
      <c r="T11" s="100">
        <f t="shared" si="3"/>
        <v>400</v>
      </c>
      <c r="U11" s="100">
        <f t="shared" si="4"/>
        <v>500</v>
      </c>
    </row>
    <row r="12" spans="1:21" x14ac:dyDescent="0.25">
      <c r="B12" s="89">
        <v>25</v>
      </c>
      <c r="C12" s="90"/>
      <c r="D12" s="90"/>
      <c r="E12" s="90"/>
      <c r="F12" s="90"/>
      <c r="G12" s="90"/>
      <c r="I12" s="93">
        <v>25</v>
      </c>
      <c r="J12" s="164" t="str">
        <f t="shared" si="0"/>
        <v/>
      </c>
      <c r="K12" s="164" t="str">
        <f t="shared" si="0"/>
        <v/>
      </c>
      <c r="L12" s="164" t="str">
        <f t="shared" si="0"/>
        <v/>
      </c>
      <c r="M12" s="164" t="str">
        <f t="shared" si="0"/>
        <v/>
      </c>
      <c r="N12" s="164" t="str">
        <f t="shared" si="0"/>
        <v/>
      </c>
      <c r="P12" s="98">
        <v>25</v>
      </c>
      <c r="Q12" s="100">
        <f t="shared" si="5"/>
        <v>125</v>
      </c>
      <c r="R12" s="100">
        <f t="shared" si="1"/>
        <v>250</v>
      </c>
      <c r="S12" s="100">
        <f t="shared" si="2"/>
        <v>375</v>
      </c>
      <c r="T12" s="100">
        <f t="shared" si="3"/>
        <v>500</v>
      </c>
      <c r="U12" s="100">
        <f t="shared" si="4"/>
        <v>625</v>
      </c>
    </row>
  </sheetData>
  <conditionalFormatting sqref="J8:N12">
    <cfRule type="cellIs" dxfId="313" priority="2" operator="equal">
      <formula>Rng_Lkp_AnswerStatus_Bad</formula>
    </cfRule>
    <cfRule type="cellIs" dxfId="312" priority="3" operator="equal">
      <formula>Rng_Lkp_AnswerStatus_Good</formula>
    </cfRule>
  </conditionalFormatting>
  <conditionalFormatting sqref="I5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3EDF-5A19-401D-8102-DCE41E5B2018}">
  <sheetPr>
    <tabColor theme="8"/>
  </sheetPr>
  <dimension ref="A1:X31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9.140625" style="8" bestFit="1" customWidth="1"/>
    <col min="4" max="4" width="8.140625" style="8" bestFit="1" customWidth="1"/>
    <col min="5" max="5" width="8.85546875" style="8" bestFit="1" customWidth="1"/>
    <col min="6" max="8" width="8.7109375" style="8" customWidth="1"/>
    <col min="9" max="9" width="10.140625" style="8" bestFit="1" customWidth="1"/>
    <col min="10" max="10" width="8.140625" style="8" bestFit="1" customWidth="1"/>
    <col min="11" max="11" width="10.7109375" style="8" hidden="1" customWidth="1" outlineLevel="1"/>
    <col min="12" max="12" width="10.5703125" style="8" bestFit="1" customWidth="1" collapsed="1"/>
    <col min="13" max="13" width="8.140625" style="8" bestFit="1" customWidth="1"/>
    <col min="14" max="14" width="11.140625" style="8" hidden="1" customWidth="1" outlineLevel="1"/>
    <col min="15" max="15" width="9.7109375" style="8" bestFit="1" customWidth="1" collapsed="1"/>
    <col min="16" max="16" width="8.140625" style="8" bestFit="1" customWidth="1"/>
    <col min="17" max="17" width="10.28515625" style="8" hidden="1" customWidth="1" outlineLevel="1"/>
    <col min="18" max="18" width="13.5703125" style="8" bestFit="1" customWidth="1" collapsed="1"/>
    <col min="19" max="19" width="8.140625" style="8" bestFit="1" customWidth="1"/>
    <col min="20" max="20" width="14.140625" style="8" hidden="1" customWidth="1" outlineLevel="1"/>
    <col min="21" max="21" width="13.28515625" style="8" bestFit="1" customWidth="1" collapsed="1"/>
    <col min="22" max="22" width="8.140625" style="8" bestFit="1" customWidth="1"/>
    <col min="23" max="23" width="14.5703125" style="8" hidden="1" customWidth="1" outlineLevel="1"/>
    <col min="24" max="24" width="9.140625" style="8" collapsed="1"/>
    <col min="25" max="16384" width="9.140625" style="8"/>
  </cols>
  <sheetData>
    <row r="1" spans="1:23" s="6" customFormat="1" ht="21" x14ac:dyDescent="0.35">
      <c r="A1" s="35"/>
      <c r="B1" s="3"/>
      <c r="E1" s="40" t="s">
        <v>97</v>
      </c>
      <c r="I1" s="40"/>
    </row>
    <row r="2" spans="1:23" s="6" customFormat="1" ht="18.75" x14ac:dyDescent="0.3">
      <c r="A2" s="36"/>
      <c r="B2" s="7"/>
      <c r="E2" s="41" t="s">
        <v>24</v>
      </c>
      <c r="I2" s="41"/>
    </row>
    <row r="3" spans="1:23" ht="6.95" customHeight="1" x14ac:dyDescent="0.25"/>
    <row r="4" spans="1:23" x14ac:dyDescent="0.25">
      <c r="D4" s="103" t="s">
        <v>22</v>
      </c>
      <c r="H4" s="11"/>
      <c r="I4" s="21">
        <v>1</v>
      </c>
      <c r="J4" s="12"/>
      <c r="K4" s="12"/>
      <c r="L4" s="21">
        <v>2</v>
      </c>
      <c r="M4" s="12"/>
      <c r="N4" s="12"/>
      <c r="O4" s="21">
        <v>3</v>
      </c>
      <c r="P4" s="12"/>
      <c r="Q4" s="12"/>
      <c r="R4" s="21">
        <v>4</v>
      </c>
      <c r="S4" s="12"/>
      <c r="T4" s="12"/>
      <c r="U4" s="21">
        <v>5</v>
      </c>
      <c r="V4" s="12"/>
      <c r="W4" s="12"/>
    </row>
    <row r="5" spans="1:23" hidden="1" outlineLevel="1" x14ac:dyDescent="0.25">
      <c r="B5" s="25" t="str">
        <f>IFERROR(IF(SUMIFS(I5:W5,I4:W4,"&gt;=0")=0,"",SUMIFS(I5:W5,I4:W4,"&gt;=0")/SUMIFS(I5:W5,I6:W6,"ANSWER")),"")</f>
        <v/>
      </c>
      <c r="C5" s="22" t="s">
        <v>8</v>
      </c>
      <c r="D5" s="103"/>
      <c r="E5" s="11"/>
      <c r="F5" s="11"/>
      <c r="G5" s="11"/>
      <c r="H5" s="11"/>
      <c r="I5" s="23">
        <f>IFERROR(COUNTA(Tbl_A4_MathFunctions_01[Total of Payments]),"")</f>
        <v>0</v>
      </c>
      <c r="J5" s="24">
        <f>IFERROR(COUNTIF(Tbl_A4_MathFunctions_01[Answer Status Q01],Rng_Lkp_AnswerStatus_Good),"")</f>
        <v>0</v>
      </c>
      <c r="K5" s="24">
        <f>IFERROR(COUNTA(Tbl_A4_MathFunctions_01[Total of Payments ANS]),"")</f>
        <v>24</v>
      </c>
      <c r="L5" s="23">
        <f>IFERROR(COUNTA(Tbl_A4_MathFunctions_01[Average of Payments]),"")</f>
        <v>0</v>
      </c>
      <c r="M5" s="24">
        <f>IFERROR(COUNTIF(Tbl_A4_MathFunctions_01[Answer Status Q02],Rng_Lkp_AnswerStatus_Good),"")</f>
        <v>0</v>
      </c>
      <c r="N5" s="24">
        <f>IFERROR(COUNTA(Tbl_A4_MathFunctions_01[Average of Payments ANS]),"")</f>
        <v>24</v>
      </c>
      <c r="O5" s="23">
        <f>IFERROR(COUNTA(Tbl_A4_MathFunctions_01['# of Payments]),"")</f>
        <v>0</v>
      </c>
      <c r="P5" s="24">
        <f>IFERROR(COUNTIF(Tbl_A4_MathFunctions_01[Answer Status Q03],Rng_Lkp_AnswerStatus_Good),"")</f>
        <v>0</v>
      </c>
      <c r="Q5" s="24">
        <f>IFERROR(COUNTA(Tbl_A4_MathFunctions_01['# of Payments ANS]),"")</f>
        <v>24</v>
      </c>
      <c r="R5" s="23">
        <f>IFERROR(COUNTA(Tbl_A4_MathFunctions_01['# of Payments Completed or Pending]),"")</f>
        <v>0</v>
      </c>
      <c r="S5" s="24">
        <f>IFERROR(COUNTIF(Tbl_A4_MathFunctions_01[Answer Status Q04],Rng_Lkp_AnswerStatus_Good),"")</f>
        <v>0</v>
      </c>
      <c r="T5" s="24">
        <f>IFERROR(COUNTA(Tbl_A4_MathFunctions_01['# of Payments Completed or Pending ANS]),"")</f>
        <v>24</v>
      </c>
      <c r="U5" s="23">
        <f>IFERROR(COUNTA(Tbl_A4_MathFunctions_01['# of Skipped (Blank) Payments]),"")</f>
        <v>0</v>
      </c>
      <c r="V5" s="24">
        <f>IFERROR(COUNTIF(Tbl_A4_MathFunctions_01[Answer Status Q05],Rng_Lkp_AnswerStatus_Good),"")</f>
        <v>0</v>
      </c>
      <c r="W5" s="24">
        <f>IFERROR(COUNTA(Tbl_A4_MathFunctions_01['# of Skipped (Blank) Payments ANS]),"")</f>
        <v>24</v>
      </c>
    </row>
    <row r="6" spans="1:23" collapsed="1" x14ac:dyDescent="0.25">
      <c r="B6" s="25" t="str">
        <f>IFERROR(IF(SUMIFS(I5:W5,I4:W4,"&gt;=0")=0,"",SUMIFS(I5:W5,I6:W6,"&gt;=0", I6:W6,"&lt;=1")/SUMIFS(I5:W5,I4:W4,"&gt;0")),"")</f>
        <v/>
      </c>
      <c r="C6" s="22" t="s">
        <v>9</v>
      </c>
      <c r="D6" s="104"/>
      <c r="I6" s="43" t="s">
        <v>25</v>
      </c>
      <c r="J6" s="20" t="str">
        <f>IFERROR(J5/I5,"")</f>
        <v/>
      </c>
      <c r="K6" s="13" t="s">
        <v>0</v>
      </c>
      <c r="L6" s="51" t="s">
        <v>10</v>
      </c>
      <c r="M6" s="20" t="str">
        <f>IFERROR(M5/L5,"")</f>
        <v/>
      </c>
      <c r="N6" s="13" t="s">
        <v>0</v>
      </c>
      <c r="O6" s="51" t="s">
        <v>26</v>
      </c>
      <c r="P6" s="20" t="str">
        <f>IFERROR(P5/O5,"")</f>
        <v/>
      </c>
      <c r="Q6" s="13" t="s">
        <v>0</v>
      </c>
      <c r="R6" s="43" t="s">
        <v>27</v>
      </c>
      <c r="S6" s="20" t="str">
        <f>IFERROR(S5/R5,"")</f>
        <v/>
      </c>
      <c r="T6" s="13" t="s">
        <v>0</v>
      </c>
      <c r="U6" s="51" t="s">
        <v>28</v>
      </c>
      <c r="V6" s="20" t="str">
        <f>IFERROR(V5/U5,"")</f>
        <v/>
      </c>
      <c r="W6" s="13" t="s">
        <v>0</v>
      </c>
    </row>
    <row r="7" spans="1:23" ht="45" x14ac:dyDescent="0.25">
      <c r="B7" s="15" t="s">
        <v>20</v>
      </c>
      <c r="C7" s="15" t="s">
        <v>34</v>
      </c>
      <c r="D7" s="105" t="s">
        <v>46</v>
      </c>
      <c r="E7" s="26" t="s">
        <v>47</v>
      </c>
      <c r="F7" s="26" t="s">
        <v>48</v>
      </c>
      <c r="G7" s="26" t="s">
        <v>49</v>
      </c>
      <c r="H7" s="26" t="s">
        <v>50</v>
      </c>
      <c r="I7" s="16" t="s">
        <v>52</v>
      </c>
      <c r="J7" s="18" t="s">
        <v>4</v>
      </c>
      <c r="K7" s="17" t="s">
        <v>53</v>
      </c>
      <c r="L7" s="16" t="s">
        <v>54</v>
      </c>
      <c r="M7" s="18" t="s">
        <v>5</v>
      </c>
      <c r="N7" s="17" t="s">
        <v>55</v>
      </c>
      <c r="O7" s="16" t="s">
        <v>56</v>
      </c>
      <c r="P7" s="18" t="s">
        <v>6</v>
      </c>
      <c r="Q7" s="17" t="s">
        <v>57</v>
      </c>
      <c r="R7" s="16" t="s">
        <v>58</v>
      </c>
      <c r="S7" s="18" t="s">
        <v>7</v>
      </c>
      <c r="T7" s="17" t="s">
        <v>60</v>
      </c>
      <c r="U7" s="52" t="s">
        <v>59</v>
      </c>
      <c r="V7" s="27" t="s">
        <v>11</v>
      </c>
      <c r="W7" s="53" t="s">
        <v>61</v>
      </c>
    </row>
    <row r="8" spans="1:23" x14ac:dyDescent="0.25">
      <c r="B8" s="9">
        <v>1</v>
      </c>
      <c r="C8" s="10" t="s">
        <v>35</v>
      </c>
      <c r="D8" s="106">
        <v>315</v>
      </c>
      <c r="E8" s="34">
        <v>100</v>
      </c>
      <c r="F8" s="34">
        <v>100</v>
      </c>
      <c r="G8" s="34">
        <v>100</v>
      </c>
      <c r="H8" s="34">
        <v>15</v>
      </c>
      <c r="I8" s="37"/>
      <c r="J8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8" s="48">
        <f>SUM(Tbl_A4_MathFunctions_01[[#This Row],[Payment 01]:[Payment 04]])</f>
        <v>315</v>
      </c>
      <c r="L8" s="37"/>
      <c r="M8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8" s="39">
        <f>AVERAGE(Tbl_A4_MathFunctions_01[[#This Row],[Payment 01]:[Payment 04]])</f>
        <v>78.75</v>
      </c>
      <c r="O8" s="58"/>
      <c r="P8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8" s="54">
        <f>COUNT(Tbl_A4_MathFunctions_01[[#This Row],[Payment 01]:[Payment 04]])</f>
        <v>4</v>
      </c>
      <c r="R8" s="58"/>
      <c r="S8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8" s="56">
        <f>COUNTA(Tbl_A4_MathFunctions_01[[#This Row],[Payment 01]:[Payment 04]])</f>
        <v>4</v>
      </c>
      <c r="U8" s="58"/>
      <c r="V8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8" s="56">
        <f>COUNTBLANK(Tbl_A4_MathFunctions_01[[#This Row],[Payment 01]:[Payment 04]])</f>
        <v>0</v>
      </c>
    </row>
    <row r="9" spans="1:23" x14ac:dyDescent="0.25">
      <c r="B9" s="9">
        <v>2</v>
      </c>
      <c r="C9" s="10" t="s">
        <v>35</v>
      </c>
      <c r="D9" s="106">
        <v>370</v>
      </c>
      <c r="E9" s="34">
        <v>70</v>
      </c>
      <c r="F9" s="34">
        <v>100</v>
      </c>
      <c r="G9" s="34">
        <v>100</v>
      </c>
      <c r="H9" s="34" t="s">
        <v>51</v>
      </c>
      <c r="I9" s="38"/>
      <c r="J9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9" s="48">
        <f>SUM(Tbl_A4_MathFunctions_01[[#This Row],[Payment 01]:[Payment 04]])</f>
        <v>270</v>
      </c>
      <c r="L9" s="38"/>
      <c r="M9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9" s="39">
        <f>AVERAGE(Tbl_A4_MathFunctions_01[[#This Row],[Payment 01]:[Payment 04]])</f>
        <v>90</v>
      </c>
      <c r="O9" s="58"/>
      <c r="P9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9" s="54">
        <f>COUNT(Tbl_A4_MathFunctions_01[[#This Row],[Payment 01]:[Payment 04]])</f>
        <v>3</v>
      </c>
      <c r="R9" s="58"/>
      <c r="S9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9" s="56">
        <f>COUNTA(Tbl_A4_MathFunctions_01[[#This Row],[Payment 01]:[Payment 04]])</f>
        <v>4</v>
      </c>
      <c r="U9" s="58"/>
      <c r="V9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9" s="56">
        <f>COUNTBLANK(Tbl_A4_MathFunctions_01[[#This Row],[Payment 01]:[Payment 04]])</f>
        <v>0</v>
      </c>
    </row>
    <row r="10" spans="1:23" x14ac:dyDescent="0.25">
      <c r="B10" s="9">
        <v>3</v>
      </c>
      <c r="C10" s="10" t="s">
        <v>137</v>
      </c>
      <c r="D10" s="106">
        <v>200</v>
      </c>
      <c r="E10" s="34">
        <v>50</v>
      </c>
      <c r="F10" s="34">
        <v>50</v>
      </c>
      <c r="G10" s="34"/>
      <c r="H10" s="34">
        <v>100</v>
      </c>
      <c r="I10" s="38"/>
      <c r="J10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0" s="48">
        <f>SUM(Tbl_A4_MathFunctions_01[[#This Row],[Payment 01]:[Payment 04]])</f>
        <v>200</v>
      </c>
      <c r="L10" s="38"/>
      <c r="M10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0" s="39">
        <f>AVERAGE(Tbl_A4_MathFunctions_01[[#This Row],[Payment 01]:[Payment 04]])</f>
        <v>66.666666666666671</v>
      </c>
      <c r="O10" s="58"/>
      <c r="P10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0" s="54">
        <f>COUNT(Tbl_A4_MathFunctions_01[[#This Row],[Payment 01]:[Payment 04]])</f>
        <v>3</v>
      </c>
      <c r="R10" s="58"/>
      <c r="S10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0" s="56">
        <f>COUNTA(Tbl_A4_MathFunctions_01[[#This Row],[Payment 01]:[Payment 04]])</f>
        <v>3</v>
      </c>
      <c r="U10" s="58"/>
      <c r="V10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0" s="56">
        <f>COUNTBLANK(Tbl_A4_MathFunctions_01[[#This Row],[Payment 01]:[Payment 04]])</f>
        <v>1</v>
      </c>
    </row>
    <row r="11" spans="1:23" x14ac:dyDescent="0.25">
      <c r="B11" s="9">
        <v>4</v>
      </c>
      <c r="C11" s="10" t="s">
        <v>36</v>
      </c>
      <c r="D11" s="106">
        <v>250</v>
      </c>
      <c r="E11" s="34">
        <v>50</v>
      </c>
      <c r="F11" s="34">
        <v>75</v>
      </c>
      <c r="G11" s="34">
        <v>100</v>
      </c>
      <c r="H11" s="34" t="s">
        <v>51</v>
      </c>
      <c r="I11" s="38"/>
      <c r="J11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1" s="48">
        <f>SUM(Tbl_A4_MathFunctions_01[[#This Row],[Payment 01]:[Payment 04]])</f>
        <v>225</v>
      </c>
      <c r="L11" s="38"/>
      <c r="M11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1" s="39">
        <f>AVERAGE(Tbl_A4_MathFunctions_01[[#This Row],[Payment 01]:[Payment 04]])</f>
        <v>75</v>
      </c>
      <c r="O11" s="58"/>
      <c r="P11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1" s="54">
        <f>COUNT(Tbl_A4_MathFunctions_01[[#This Row],[Payment 01]:[Payment 04]])</f>
        <v>3</v>
      </c>
      <c r="R11" s="58"/>
      <c r="S11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1" s="56">
        <f>COUNTA(Tbl_A4_MathFunctions_01[[#This Row],[Payment 01]:[Payment 04]])</f>
        <v>4</v>
      </c>
      <c r="U11" s="58"/>
      <c r="V11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1" s="56">
        <f>COUNTBLANK(Tbl_A4_MathFunctions_01[[#This Row],[Payment 01]:[Payment 04]])</f>
        <v>0</v>
      </c>
    </row>
    <row r="12" spans="1:23" x14ac:dyDescent="0.25">
      <c r="B12" s="9">
        <v>5</v>
      </c>
      <c r="C12" s="10" t="s">
        <v>37</v>
      </c>
      <c r="D12" s="106">
        <v>270</v>
      </c>
      <c r="E12" s="34">
        <v>100</v>
      </c>
      <c r="F12" s="34">
        <v>100</v>
      </c>
      <c r="G12" s="34">
        <v>70</v>
      </c>
      <c r="H12" s="34"/>
      <c r="I12" s="38"/>
      <c r="J12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2" s="48">
        <f>SUM(Tbl_A4_MathFunctions_01[[#This Row],[Payment 01]:[Payment 04]])</f>
        <v>270</v>
      </c>
      <c r="L12" s="38"/>
      <c r="M12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2" s="39">
        <f>AVERAGE(Tbl_A4_MathFunctions_01[[#This Row],[Payment 01]:[Payment 04]])</f>
        <v>90</v>
      </c>
      <c r="O12" s="58"/>
      <c r="P12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2" s="54">
        <f>COUNT(Tbl_A4_MathFunctions_01[[#This Row],[Payment 01]:[Payment 04]])</f>
        <v>3</v>
      </c>
      <c r="R12" s="58"/>
      <c r="S12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2" s="56">
        <f>COUNTA(Tbl_A4_MathFunctions_01[[#This Row],[Payment 01]:[Payment 04]])</f>
        <v>3</v>
      </c>
      <c r="U12" s="58"/>
      <c r="V12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2" s="56">
        <f>COUNTBLANK(Tbl_A4_MathFunctions_01[[#This Row],[Payment 01]:[Payment 04]])</f>
        <v>1</v>
      </c>
    </row>
    <row r="13" spans="1:23" x14ac:dyDescent="0.25">
      <c r="B13" s="9">
        <v>6</v>
      </c>
      <c r="C13" s="10" t="s">
        <v>38</v>
      </c>
      <c r="D13" s="106">
        <v>615</v>
      </c>
      <c r="E13" s="34">
        <v>215</v>
      </c>
      <c r="F13" s="34">
        <v>300</v>
      </c>
      <c r="G13" s="34" t="s">
        <v>51</v>
      </c>
      <c r="H13" s="34"/>
      <c r="I13" s="38"/>
      <c r="J13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3" s="48">
        <f>SUM(Tbl_A4_MathFunctions_01[[#This Row],[Payment 01]:[Payment 04]])</f>
        <v>515</v>
      </c>
      <c r="L13" s="38"/>
      <c r="M13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3" s="39">
        <f>AVERAGE(Tbl_A4_MathFunctions_01[[#This Row],[Payment 01]:[Payment 04]])</f>
        <v>257.5</v>
      </c>
      <c r="O13" s="58"/>
      <c r="P13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3" s="54">
        <f>COUNT(Tbl_A4_MathFunctions_01[[#This Row],[Payment 01]:[Payment 04]])</f>
        <v>2</v>
      </c>
      <c r="R13" s="58"/>
      <c r="S13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3" s="56">
        <f>COUNTA(Tbl_A4_MathFunctions_01[[#This Row],[Payment 01]:[Payment 04]])</f>
        <v>3</v>
      </c>
      <c r="U13" s="58"/>
      <c r="V13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3" s="56">
        <f>COUNTBLANK(Tbl_A4_MathFunctions_01[[#This Row],[Payment 01]:[Payment 04]])</f>
        <v>1</v>
      </c>
    </row>
    <row r="14" spans="1:23" x14ac:dyDescent="0.25">
      <c r="B14" s="9">
        <v>7</v>
      </c>
      <c r="C14" s="10" t="s">
        <v>39</v>
      </c>
      <c r="D14" s="106">
        <v>1000</v>
      </c>
      <c r="E14" s="34">
        <v>250</v>
      </c>
      <c r="F14" s="34">
        <v>250</v>
      </c>
      <c r="G14" s="34">
        <v>500</v>
      </c>
      <c r="H14" s="34"/>
      <c r="I14" s="38"/>
      <c r="J14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4" s="48">
        <f>SUM(Tbl_A4_MathFunctions_01[[#This Row],[Payment 01]:[Payment 04]])</f>
        <v>1000</v>
      </c>
      <c r="L14" s="38"/>
      <c r="M14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4" s="39">
        <f>AVERAGE(Tbl_A4_MathFunctions_01[[#This Row],[Payment 01]:[Payment 04]])</f>
        <v>333.33333333333331</v>
      </c>
      <c r="O14" s="58"/>
      <c r="P14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4" s="54">
        <f>COUNT(Tbl_A4_MathFunctions_01[[#This Row],[Payment 01]:[Payment 04]])</f>
        <v>3</v>
      </c>
      <c r="R14" s="58"/>
      <c r="S14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4" s="56">
        <f>COUNTA(Tbl_A4_MathFunctions_01[[#This Row],[Payment 01]:[Payment 04]])</f>
        <v>3</v>
      </c>
      <c r="U14" s="58"/>
      <c r="V14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4" s="56">
        <f>COUNTBLANK(Tbl_A4_MathFunctions_01[[#This Row],[Payment 01]:[Payment 04]])</f>
        <v>1</v>
      </c>
    </row>
    <row r="15" spans="1:23" x14ac:dyDescent="0.25">
      <c r="B15" s="9">
        <v>8</v>
      </c>
      <c r="C15" s="10" t="s">
        <v>35</v>
      </c>
      <c r="D15" s="106">
        <v>980</v>
      </c>
      <c r="E15" s="34">
        <v>400</v>
      </c>
      <c r="F15" s="34"/>
      <c r="G15" s="34">
        <v>380</v>
      </c>
      <c r="H15" s="34" t="s">
        <v>51</v>
      </c>
      <c r="I15" s="38"/>
      <c r="J15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5" s="48">
        <f>SUM(Tbl_A4_MathFunctions_01[[#This Row],[Payment 01]:[Payment 04]])</f>
        <v>780</v>
      </c>
      <c r="L15" s="38"/>
      <c r="M15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5" s="39">
        <f>AVERAGE(Tbl_A4_MathFunctions_01[[#This Row],[Payment 01]:[Payment 04]])</f>
        <v>390</v>
      </c>
      <c r="O15" s="58"/>
      <c r="P15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5" s="54">
        <f>COUNT(Tbl_A4_MathFunctions_01[[#This Row],[Payment 01]:[Payment 04]])</f>
        <v>2</v>
      </c>
      <c r="R15" s="58"/>
      <c r="S15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5" s="56">
        <f>COUNTA(Tbl_A4_MathFunctions_01[[#This Row],[Payment 01]:[Payment 04]])</f>
        <v>3</v>
      </c>
      <c r="U15" s="58"/>
      <c r="V15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5" s="56">
        <f>COUNTBLANK(Tbl_A4_MathFunctions_01[[#This Row],[Payment 01]:[Payment 04]])</f>
        <v>1</v>
      </c>
    </row>
    <row r="16" spans="1:23" x14ac:dyDescent="0.25">
      <c r="B16" s="9">
        <v>9</v>
      </c>
      <c r="C16" s="10" t="s">
        <v>35</v>
      </c>
      <c r="D16" s="106">
        <v>385</v>
      </c>
      <c r="E16" s="34">
        <v>385</v>
      </c>
      <c r="F16" s="34"/>
      <c r="G16" s="34"/>
      <c r="H16" s="34"/>
      <c r="I16" s="38"/>
      <c r="J16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6" s="48">
        <f>SUM(Tbl_A4_MathFunctions_01[[#This Row],[Payment 01]:[Payment 04]])</f>
        <v>385</v>
      </c>
      <c r="L16" s="38"/>
      <c r="M16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6" s="39">
        <f>AVERAGE(Tbl_A4_MathFunctions_01[[#This Row],[Payment 01]:[Payment 04]])</f>
        <v>385</v>
      </c>
      <c r="O16" s="58"/>
      <c r="P16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6" s="54">
        <f>COUNT(Tbl_A4_MathFunctions_01[[#This Row],[Payment 01]:[Payment 04]])</f>
        <v>1</v>
      </c>
      <c r="R16" s="58"/>
      <c r="S16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6" s="56">
        <f>COUNTA(Tbl_A4_MathFunctions_01[[#This Row],[Payment 01]:[Payment 04]])</f>
        <v>1</v>
      </c>
      <c r="U16" s="58"/>
      <c r="V16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6" s="56">
        <f>COUNTBLANK(Tbl_A4_MathFunctions_01[[#This Row],[Payment 01]:[Payment 04]])</f>
        <v>3</v>
      </c>
    </row>
    <row r="17" spans="2:23" x14ac:dyDescent="0.25">
      <c r="B17" s="9">
        <v>10</v>
      </c>
      <c r="C17" s="10" t="s">
        <v>35</v>
      </c>
      <c r="D17" s="106">
        <v>775</v>
      </c>
      <c r="E17" s="34">
        <v>700</v>
      </c>
      <c r="F17" s="34"/>
      <c r="G17" s="34"/>
      <c r="H17" s="34">
        <v>75</v>
      </c>
      <c r="I17" s="44"/>
      <c r="J17" s="19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7" s="49">
        <f>SUM(Tbl_A4_MathFunctions_01[[#This Row],[Payment 01]:[Payment 04]])</f>
        <v>775</v>
      </c>
      <c r="L17" s="44"/>
      <c r="M17" s="19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7" s="45">
        <f>AVERAGE(Tbl_A4_MathFunctions_01[[#This Row],[Payment 01]:[Payment 04]])</f>
        <v>387.5</v>
      </c>
      <c r="O17" s="59"/>
      <c r="P17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7" s="55">
        <f>COUNT(Tbl_A4_MathFunctions_01[[#This Row],[Payment 01]:[Payment 04]])</f>
        <v>2</v>
      </c>
      <c r="R17" s="59"/>
      <c r="S17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7" s="57">
        <f>COUNTA(Tbl_A4_MathFunctions_01[[#This Row],[Payment 01]:[Payment 04]])</f>
        <v>2</v>
      </c>
      <c r="U17" s="59"/>
      <c r="V17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7" s="57">
        <f>COUNTBLANK(Tbl_A4_MathFunctions_01[[#This Row],[Payment 01]:[Payment 04]])</f>
        <v>2</v>
      </c>
    </row>
    <row r="18" spans="2:23" x14ac:dyDescent="0.25">
      <c r="B18" s="9">
        <v>11</v>
      </c>
      <c r="C18" s="10" t="s">
        <v>40</v>
      </c>
      <c r="D18" s="106">
        <v>475</v>
      </c>
      <c r="E18" s="34">
        <v>100</v>
      </c>
      <c r="F18" s="34">
        <v>100</v>
      </c>
      <c r="G18" s="34">
        <v>100</v>
      </c>
      <c r="H18" s="34">
        <v>75</v>
      </c>
      <c r="I18" s="44"/>
      <c r="J18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8" s="50">
        <f>SUM(Tbl_A4_MathFunctions_01[[#This Row],[Payment 01]:[Payment 04]])</f>
        <v>375</v>
      </c>
      <c r="L18" s="42"/>
      <c r="M18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8" s="47">
        <f>AVERAGE(Tbl_A4_MathFunctions_01[[#This Row],[Payment 01]:[Payment 04]])</f>
        <v>93.75</v>
      </c>
      <c r="O18" s="59"/>
      <c r="P18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8" s="55">
        <f>COUNT(Tbl_A4_MathFunctions_01[[#This Row],[Payment 01]:[Payment 04]])</f>
        <v>4</v>
      </c>
      <c r="R18" s="59"/>
      <c r="S18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8" s="57">
        <f>COUNTA(Tbl_A4_MathFunctions_01[[#This Row],[Payment 01]:[Payment 04]])</f>
        <v>4</v>
      </c>
      <c r="U18" s="59"/>
      <c r="V18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8" s="57">
        <f>COUNTBLANK(Tbl_A4_MathFunctions_01[[#This Row],[Payment 01]:[Payment 04]])</f>
        <v>0</v>
      </c>
    </row>
    <row r="19" spans="2:23" x14ac:dyDescent="0.25">
      <c r="B19" s="9">
        <v>12</v>
      </c>
      <c r="C19" s="10" t="s">
        <v>41</v>
      </c>
      <c r="D19" s="106">
        <v>1125</v>
      </c>
      <c r="E19" s="34">
        <v>500</v>
      </c>
      <c r="F19" s="34">
        <v>200</v>
      </c>
      <c r="G19" s="34">
        <v>200</v>
      </c>
      <c r="H19" s="34" t="s">
        <v>51</v>
      </c>
      <c r="I19" s="44"/>
      <c r="J19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19" s="50">
        <f>SUM(Tbl_A4_MathFunctions_01[[#This Row],[Payment 01]:[Payment 04]])</f>
        <v>900</v>
      </c>
      <c r="L19" s="42"/>
      <c r="M19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19" s="47">
        <f>AVERAGE(Tbl_A4_MathFunctions_01[[#This Row],[Payment 01]:[Payment 04]])</f>
        <v>300</v>
      </c>
      <c r="O19" s="59"/>
      <c r="P19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19" s="55">
        <f>COUNT(Tbl_A4_MathFunctions_01[[#This Row],[Payment 01]:[Payment 04]])</f>
        <v>3</v>
      </c>
      <c r="R19" s="59"/>
      <c r="S19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19" s="57">
        <f>COUNTA(Tbl_A4_MathFunctions_01[[#This Row],[Payment 01]:[Payment 04]])</f>
        <v>4</v>
      </c>
      <c r="U19" s="59"/>
      <c r="V19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19" s="57">
        <f>COUNTBLANK(Tbl_A4_MathFunctions_01[[#This Row],[Payment 01]:[Payment 04]])</f>
        <v>0</v>
      </c>
    </row>
    <row r="20" spans="2:23" x14ac:dyDescent="0.25">
      <c r="B20" s="9">
        <v>13</v>
      </c>
      <c r="C20" s="10" t="s">
        <v>42</v>
      </c>
      <c r="D20" s="106">
        <v>450</v>
      </c>
      <c r="E20" s="34">
        <v>150</v>
      </c>
      <c r="F20" s="34">
        <v>100</v>
      </c>
      <c r="G20" s="34">
        <v>200</v>
      </c>
      <c r="H20" s="34"/>
      <c r="I20" s="44"/>
      <c r="J20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0" s="50">
        <f>SUM(Tbl_A4_MathFunctions_01[[#This Row],[Payment 01]:[Payment 04]])</f>
        <v>450</v>
      </c>
      <c r="L20" s="42"/>
      <c r="M20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0" s="47">
        <f>AVERAGE(Tbl_A4_MathFunctions_01[[#This Row],[Payment 01]:[Payment 04]])</f>
        <v>150</v>
      </c>
      <c r="O20" s="59"/>
      <c r="P20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0" s="55">
        <f>COUNT(Tbl_A4_MathFunctions_01[[#This Row],[Payment 01]:[Payment 04]])</f>
        <v>3</v>
      </c>
      <c r="R20" s="59"/>
      <c r="S20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0" s="57">
        <f>COUNTA(Tbl_A4_MathFunctions_01[[#This Row],[Payment 01]:[Payment 04]])</f>
        <v>3</v>
      </c>
      <c r="U20" s="59"/>
      <c r="V20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0" s="57">
        <f>COUNTBLANK(Tbl_A4_MathFunctions_01[[#This Row],[Payment 01]:[Payment 04]])</f>
        <v>1</v>
      </c>
    </row>
    <row r="21" spans="2:23" x14ac:dyDescent="0.25">
      <c r="B21" s="9">
        <v>14</v>
      </c>
      <c r="C21" s="10" t="s">
        <v>43</v>
      </c>
      <c r="D21" s="106">
        <v>750</v>
      </c>
      <c r="E21" s="34">
        <v>150</v>
      </c>
      <c r="F21" s="34">
        <v>200</v>
      </c>
      <c r="G21" s="34">
        <v>400</v>
      </c>
      <c r="H21" s="34"/>
      <c r="I21" s="44"/>
      <c r="J21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1" s="50">
        <f>SUM(Tbl_A4_MathFunctions_01[[#This Row],[Payment 01]:[Payment 04]])</f>
        <v>750</v>
      </c>
      <c r="L21" s="42"/>
      <c r="M21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1" s="47">
        <f>AVERAGE(Tbl_A4_MathFunctions_01[[#This Row],[Payment 01]:[Payment 04]])</f>
        <v>250</v>
      </c>
      <c r="O21" s="59"/>
      <c r="P21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1" s="55">
        <f>COUNT(Tbl_A4_MathFunctions_01[[#This Row],[Payment 01]:[Payment 04]])</f>
        <v>3</v>
      </c>
      <c r="R21" s="59"/>
      <c r="S21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1" s="57">
        <f>COUNTA(Tbl_A4_MathFunctions_01[[#This Row],[Payment 01]:[Payment 04]])</f>
        <v>3</v>
      </c>
      <c r="U21" s="59"/>
      <c r="V21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1" s="57">
        <f>COUNTBLANK(Tbl_A4_MathFunctions_01[[#This Row],[Payment 01]:[Payment 04]])</f>
        <v>1</v>
      </c>
    </row>
    <row r="22" spans="2:23" x14ac:dyDescent="0.25">
      <c r="B22" s="9">
        <v>15</v>
      </c>
      <c r="C22" s="10" t="s">
        <v>137</v>
      </c>
      <c r="D22" s="106">
        <v>275</v>
      </c>
      <c r="E22" s="34">
        <v>100</v>
      </c>
      <c r="F22" s="34"/>
      <c r="G22" s="34">
        <v>100</v>
      </c>
      <c r="H22" s="34" t="s">
        <v>51</v>
      </c>
      <c r="I22" s="44"/>
      <c r="J22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2" s="50">
        <f>SUM(Tbl_A4_MathFunctions_01[[#This Row],[Payment 01]:[Payment 04]])</f>
        <v>200</v>
      </c>
      <c r="L22" s="42"/>
      <c r="M22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2" s="47">
        <f>AVERAGE(Tbl_A4_MathFunctions_01[[#This Row],[Payment 01]:[Payment 04]])</f>
        <v>100</v>
      </c>
      <c r="O22" s="59"/>
      <c r="P22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2" s="55">
        <f>COUNT(Tbl_A4_MathFunctions_01[[#This Row],[Payment 01]:[Payment 04]])</f>
        <v>2</v>
      </c>
      <c r="R22" s="59"/>
      <c r="S22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2" s="57">
        <f>COUNTA(Tbl_A4_MathFunctions_01[[#This Row],[Payment 01]:[Payment 04]])</f>
        <v>3</v>
      </c>
      <c r="U22" s="59"/>
      <c r="V22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2" s="57">
        <f>COUNTBLANK(Tbl_A4_MathFunctions_01[[#This Row],[Payment 01]:[Payment 04]])</f>
        <v>1</v>
      </c>
    </row>
    <row r="23" spans="2:23" x14ac:dyDescent="0.25">
      <c r="B23" s="9">
        <v>16</v>
      </c>
      <c r="C23" s="10" t="s">
        <v>44</v>
      </c>
      <c r="D23" s="106">
        <v>255</v>
      </c>
      <c r="E23" s="34">
        <v>255</v>
      </c>
      <c r="F23" s="34"/>
      <c r="G23" s="34"/>
      <c r="H23" s="34"/>
      <c r="I23" s="44"/>
      <c r="J23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3" s="50">
        <f>SUM(Tbl_A4_MathFunctions_01[[#This Row],[Payment 01]:[Payment 04]])</f>
        <v>255</v>
      </c>
      <c r="L23" s="42"/>
      <c r="M23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3" s="47">
        <f>AVERAGE(Tbl_A4_MathFunctions_01[[#This Row],[Payment 01]:[Payment 04]])</f>
        <v>255</v>
      </c>
      <c r="O23" s="59"/>
      <c r="P23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3" s="55">
        <f>COUNT(Tbl_A4_MathFunctions_01[[#This Row],[Payment 01]:[Payment 04]])</f>
        <v>1</v>
      </c>
      <c r="R23" s="59"/>
      <c r="S23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3" s="57">
        <f>COUNTA(Tbl_A4_MathFunctions_01[[#This Row],[Payment 01]:[Payment 04]])</f>
        <v>1</v>
      </c>
      <c r="U23" s="59"/>
      <c r="V23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3" s="57">
        <f>COUNTBLANK(Tbl_A4_MathFunctions_01[[#This Row],[Payment 01]:[Payment 04]])</f>
        <v>3</v>
      </c>
    </row>
    <row r="24" spans="2:23" x14ac:dyDescent="0.25">
      <c r="B24" s="9">
        <v>17</v>
      </c>
      <c r="C24" s="10" t="s">
        <v>35</v>
      </c>
      <c r="D24" s="106">
        <v>290</v>
      </c>
      <c r="E24" s="34">
        <v>290</v>
      </c>
      <c r="F24" s="34"/>
      <c r="G24" s="34"/>
      <c r="H24" s="34"/>
      <c r="I24" s="44"/>
      <c r="J24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4" s="50">
        <f>SUM(Tbl_A4_MathFunctions_01[[#This Row],[Payment 01]:[Payment 04]])</f>
        <v>290</v>
      </c>
      <c r="L24" s="42"/>
      <c r="M24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4" s="47">
        <f>AVERAGE(Tbl_A4_MathFunctions_01[[#This Row],[Payment 01]:[Payment 04]])</f>
        <v>290</v>
      </c>
      <c r="O24" s="59"/>
      <c r="P24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4" s="55">
        <f>COUNT(Tbl_A4_MathFunctions_01[[#This Row],[Payment 01]:[Payment 04]])</f>
        <v>1</v>
      </c>
      <c r="R24" s="59"/>
      <c r="S24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4" s="57">
        <f>COUNTA(Tbl_A4_MathFunctions_01[[#This Row],[Payment 01]:[Payment 04]])</f>
        <v>1</v>
      </c>
      <c r="U24" s="59"/>
      <c r="V24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4" s="57">
        <f>COUNTBLANK(Tbl_A4_MathFunctions_01[[#This Row],[Payment 01]:[Payment 04]])</f>
        <v>3</v>
      </c>
    </row>
    <row r="25" spans="2:23" x14ac:dyDescent="0.25">
      <c r="B25" s="9">
        <v>18</v>
      </c>
      <c r="C25" s="10" t="s">
        <v>45</v>
      </c>
      <c r="D25" s="106">
        <v>475</v>
      </c>
      <c r="E25" s="34">
        <v>475</v>
      </c>
      <c r="F25" s="34"/>
      <c r="G25" s="34"/>
      <c r="H25" s="34"/>
      <c r="I25" s="44"/>
      <c r="J25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5" s="50">
        <f>SUM(Tbl_A4_MathFunctions_01[[#This Row],[Payment 01]:[Payment 04]])</f>
        <v>475</v>
      </c>
      <c r="L25" s="42"/>
      <c r="M25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5" s="47">
        <f>AVERAGE(Tbl_A4_MathFunctions_01[[#This Row],[Payment 01]:[Payment 04]])</f>
        <v>475</v>
      </c>
      <c r="O25" s="59"/>
      <c r="P25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5" s="55">
        <f>COUNT(Tbl_A4_MathFunctions_01[[#This Row],[Payment 01]:[Payment 04]])</f>
        <v>1</v>
      </c>
      <c r="R25" s="59"/>
      <c r="S25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5" s="57">
        <f>COUNTA(Tbl_A4_MathFunctions_01[[#This Row],[Payment 01]:[Payment 04]])</f>
        <v>1</v>
      </c>
      <c r="U25" s="59"/>
      <c r="V25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5" s="57">
        <f>COUNTBLANK(Tbl_A4_MathFunctions_01[[#This Row],[Payment 01]:[Payment 04]])</f>
        <v>3</v>
      </c>
    </row>
    <row r="26" spans="2:23" x14ac:dyDescent="0.25">
      <c r="B26" s="9">
        <v>19</v>
      </c>
      <c r="C26" s="10" t="s">
        <v>44</v>
      </c>
      <c r="D26" s="106">
        <v>285</v>
      </c>
      <c r="E26" s="34">
        <v>200</v>
      </c>
      <c r="F26" s="34"/>
      <c r="G26" s="34">
        <v>85</v>
      </c>
      <c r="H26" s="34"/>
      <c r="I26" s="44"/>
      <c r="J26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6" s="50">
        <f>SUM(Tbl_A4_MathFunctions_01[[#This Row],[Payment 01]:[Payment 04]])</f>
        <v>285</v>
      </c>
      <c r="L26" s="42"/>
      <c r="M26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6" s="47">
        <f>AVERAGE(Tbl_A4_MathFunctions_01[[#This Row],[Payment 01]:[Payment 04]])</f>
        <v>142.5</v>
      </c>
      <c r="O26" s="59"/>
      <c r="P26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6" s="55">
        <f>COUNT(Tbl_A4_MathFunctions_01[[#This Row],[Payment 01]:[Payment 04]])</f>
        <v>2</v>
      </c>
      <c r="R26" s="59"/>
      <c r="S26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6" s="57">
        <f>COUNTA(Tbl_A4_MathFunctions_01[[#This Row],[Payment 01]:[Payment 04]])</f>
        <v>2</v>
      </c>
      <c r="U26" s="59"/>
      <c r="V26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6" s="57">
        <f>COUNTBLANK(Tbl_A4_MathFunctions_01[[#This Row],[Payment 01]:[Payment 04]])</f>
        <v>2</v>
      </c>
    </row>
    <row r="27" spans="2:23" x14ac:dyDescent="0.25">
      <c r="B27" s="9">
        <v>20</v>
      </c>
      <c r="C27" s="10" t="s">
        <v>44</v>
      </c>
      <c r="D27" s="106">
        <v>975</v>
      </c>
      <c r="E27" s="34">
        <v>500</v>
      </c>
      <c r="F27" s="34"/>
      <c r="G27" s="34">
        <v>400</v>
      </c>
      <c r="H27" s="34">
        <v>75</v>
      </c>
      <c r="I27" s="44"/>
      <c r="J27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7" s="50">
        <f>SUM(Tbl_A4_MathFunctions_01[[#This Row],[Payment 01]:[Payment 04]])</f>
        <v>975</v>
      </c>
      <c r="L27" s="42"/>
      <c r="M27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7" s="47">
        <f>AVERAGE(Tbl_A4_MathFunctions_01[[#This Row],[Payment 01]:[Payment 04]])</f>
        <v>325</v>
      </c>
      <c r="O27" s="59"/>
      <c r="P27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7" s="55">
        <f>COUNT(Tbl_A4_MathFunctions_01[[#This Row],[Payment 01]:[Payment 04]])</f>
        <v>3</v>
      </c>
      <c r="R27" s="59"/>
      <c r="S27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7" s="57">
        <f>COUNTA(Tbl_A4_MathFunctions_01[[#This Row],[Payment 01]:[Payment 04]])</f>
        <v>3</v>
      </c>
      <c r="U27" s="59"/>
      <c r="V27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7" s="57">
        <f>COUNTBLANK(Tbl_A4_MathFunctions_01[[#This Row],[Payment 01]:[Payment 04]])</f>
        <v>1</v>
      </c>
    </row>
    <row r="28" spans="2:23" x14ac:dyDescent="0.25">
      <c r="B28" s="9">
        <v>21</v>
      </c>
      <c r="C28" s="10" t="s">
        <v>35</v>
      </c>
      <c r="D28" s="106">
        <v>175</v>
      </c>
      <c r="E28" s="34">
        <v>175</v>
      </c>
      <c r="F28" s="34"/>
      <c r="G28" s="34"/>
      <c r="H28" s="34"/>
      <c r="I28" s="44"/>
      <c r="J28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8" s="50">
        <f>SUM(Tbl_A4_MathFunctions_01[[#This Row],[Payment 01]:[Payment 04]])</f>
        <v>175</v>
      </c>
      <c r="L28" s="42"/>
      <c r="M28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8" s="47">
        <f>AVERAGE(Tbl_A4_MathFunctions_01[[#This Row],[Payment 01]:[Payment 04]])</f>
        <v>175</v>
      </c>
      <c r="O28" s="59"/>
      <c r="P28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8" s="55">
        <f>COUNT(Tbl_A4_MathFunctions_01[[#This Row],[Payment 01]:[Payment 04]])</f>
        <v>1</v>
      </c>
      <c r="R28" s="59"/>
      <c r="S28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8" s="57">
        <f>COUNTA(Tbl_A4_MathFunctions_01[[#This Row],[Payment 01]:[Payment 04]])</f>
        <v>1</v>
      </c>
      <c r="U28" s="59"/>
      <c r="V28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8" s="57">
        <f>COUNTBLANK(Tbl_A4_MathFunctions_01[[#This Row],[Payment 01]:[Payment 04]])</f>
        <v>3</v>
      </c>
    </row>
    <row r="29" spans="2:23" x14ac:dyDescent="0.25">
      <c r="B29" s="9">
        <v>22</v>
      </c>
      <c r="C29" s="10" t="s">
        <v>35</v>
      </c>
      <c r="D29" s="106">
        <v>980</v>
      </c>
      <c r="E29" s="34">
        <v>400</v>
      </c>
      <c r="F29" s="34"/>
      <c r="G29" s="34">
        <v>500</v>
      </c>
      <c r="H29" s="34">
        <v>80</v>
      </c>
      <c r="I29" s="44"/>
      <c r="J29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29" s="50">
        <f>SUM(Tbl_A4_MathFunctions_01[[#This Row],[Payment 01]:[Payment 04]])</f>
        <v>980</v>
      </c>
      <c r="L29" s="42"/>
      <c r="M29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29" s="47">
        <f>AVERAGE(Tbl_A4_MathFunctions_01[[#This Row],[Payment 01]:[Payment 04]])</f>
        <v>326.66666666666669</v>
      </c>
      <c r="O29" s="59"/>
      <c r="P29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29" s="55">
        <f>COUNT(Tbl_A4_MathFunctions_01[[#This Row],[Payment 01]:[Payment 04]])</f>
        <v>3</v>
      </c>
      <c r="R29" s="59"/>
      <c r="S29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29" s="57">
        <f>COUNTA(Tbl_A4_MathFunctions_01[[#This Row],[Payment 01]:[Payment 04]])</f>
        <v>3</v>
      </c>
      <c r="U29" s="59"/>
      <c r="V29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29" s="57">
        <f>COUNTBLANK(Tbl_A4_MathFunctions_01[[#This Row],[Payment 01]:[Payment 04]])</f>
        <v>1</v>
      </c>
    </row>
    <row r="30" spans="2:23" x14ac:dyDescent="0.25">
      <c r="B30" s="9">
        <v>23</v>
      </c>
      <c r="C30" s="10" t="s">
        <v>137</v>
      </c>
      <c r="D30" s="106">
        <v>700</v>
      </c>
      <c r="E30" s="34">
        <v>300</v>
      </c>
      <c r="F30" s="34">
        <v>300</v>
      </c>
      <c r="G30" s="34" t="s">
        <v>51</v>
      </c>
      <c r="H30" s="34"/>
      <c r="I30" s="44"/>
      <c r="J30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30" s="50">
        <f>SUM(Tbl_A4_MathFunctions_01[[#This Row],[Payment 01]:[Payment 04]])</f>
        <v>600</v>
      </c>
      <c r="L30" s="42"/>
      <c r="M30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30" s="47">
        <f>AVERAGE(Tbl_A4_MathFunctions_01[[#This Row],[Payment 01]:[Payment 04]])</f>
        <v>300</v>
      </c>
      <c r="O30" s="59"/>
      <c r="P30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30" s="55">
        <f>COUNT(Tbl_A4_MathFunctions_01[[#This Row],[Payment 01]:[Payment 04]])</f>
        <v>2</v>
      </c>
      <c r="R30" s="59"/>
      <c r="S30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30" s="57">
        <f>COUNTA(Tbl_A4_MathFunctions_01[[#This Row],[Payment 01]:[Payment 04]])</f>
        <v>3</v>
      </c>
      <c r="U30" s="59"/>
      <c r="V30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30" s="57">
        <f>COUNTBLANK(Tbl_A4_MathFunctions_01[[#This Row],[Payment 01]:[Payment 04]])</f>
        <v>1</v>
      </c>
    </row>
    <row r="31" spans="2:23" x14ac:dyDescent="0.25">
      <c r="B31" s="9">
        <v>24</v>
      </c>
      <c r="C31" s="10" t="s">
        <v>45</v>
      </c>
      <c r="D31" s="106">
        <v>285</v>
      </c>
      <c r="E31" s="34">
        <v>185</v>
      </c>
      <c r="F31" s="34" t="s">
        <v>51</v>
      </c>
      <c r="G31" s="34"/>
      <c r="H31" s="34"/>
      <c r="I31" s="44"/>
      <c r="J31" s="46" t="str">
        <f>IFERROR(IF(Tbl_A4_MathFunctions_01[[#This Row],[Total of Payments]]="","",IF(AND(_xlfn.ISFORMULA(Tbl_A4_MathFunctions_01[[#This Row],[Total of Payments]]),EXACT(Tbl_A4_MathFunctions_01[[#This Row],[Total of Payments]],Tbl_A4_MathFunctions_01[[#This Row],[Total of Payments ANS]])),Rng_Lkp_AnswerStatus_Good,Rng_Lkp_AnswerStatus_Bad)),Rng_Lkp_AnswerStatus_Bad)</f>
        <v/>
      </c>
      <c r="K31" s="50">
        <f>SUM(Tbl_A4_MathFunctions_01[[#This Row],[Payment 01]:[Payment 04]])</f>
        <v>185</v>
      </c>
      <c r="L31" s="42"/>
      <c r="M31" s="46" t="str">
        <f>IFERROR(IF(Tbl_A4_MathFunctions_01[[#This Row],[Average of Payments]]="","",IF(AND(_xlfn.ISFORMULA(Tbl_A4_MathFunctions_01[[#This Row],[Average of Payments]]),EXACT(Tbl_A4_MathFunctions_01[[#This Row],[Average of Payments]],Tbl_A4_MathFunctions_01[[#This Row],[Average of Payments ANS]])),Rng_Lkp_AnswerStatus_Good,Rng_Lkp_AnswerStatus_Bad)),Rng_Lkp_AnswerStatus_Bad)</f>
        <v/>
      </c>
      <c r="N31" s="47">
        <f>AVERAGE(Tbl_A4_MathFunctions_01[[#This Row],[Payment 01]:[Payment 04]])</f>
        <v>185</v>
      </c>
      <c r="O31" s="59"/>
      <c r="P31" s="19" t="str">
        <f>IFERROR(IF(Tbl_A4_MathFunctions_01[[#This Row],['# of Payments]]="","",IF(AND(_xlfn.ISFORMULA(Tbl_A4_MathFunctions_01[[#This Row],['# of Payments]]),EXACT(Tbl_A4_MathFunctions_01[[#This Row],['# of Payments]],Tbl_A4_MathFunctions_01[[#This Row],['# of Payments ANS]])),Rng_Lkp_AnswerStatus_Good,Rng_Lkp_AnswerStatus_Bad)),Rng_Lkp_AnswerStatus_Bad)</f>
        <v/>
      </c>
      <c r="Q31" s="55">
        <f>COUNT(Tbl_A4_MathFunctions_01[[#This Row],[Payment 01]:[Payment 04]])</f>
        <v>1</v>
      </c>
      <c r="R31" s="59"/>
      <c r="S31" s="19" t="str">
        <f>IFERROR(IF(Tbl_A4_MathFunctions_01[[#This Row],['# of Payments Completed or Pending]]="","",IF(AND(_xlfn.ISFORMULA(Tbl_A4_MathFunctions_01[[#This Row],['# of Payments Completed or Pending]]),EXACT(Tbl_A4_MathFunctions_01[[#This Row],['# of Payments Completed or Pending]],Tbl_A4_MathFunctions_01[[#This Row],['# of Payments Completed or Pending ANS]])),Rng_Lkp_AnswerStatus_Good,Rng_Lkp_AnswerStatus_Bad)),Rng_Lkp_AnswerStatus_Bad)</f>
        <v/>
      </c>
      <c r="T31" s="57">
        <f>COUNTA(Tbl_A4_MathFunctions_01[[#This Row],[Payment 01]:[Payment 04]])</f>
        <v>2</v>
      </c>
      <c r="U31" s="59"/>
      <c r="V31" s="19" t="str">
        <f>IFERROR(IF(Tbl_A4_MathFunctions_01[[#This Row],['# of Skipped (Blank) Payments]]="","",IF(AND(_xlfn.ISFORMULA(Tbl_A4_MathFunctions_01[[#This Row],['# of Skipped (Blank) Payments]]),EXACT(Tbl_A4_MathFunctions_01[[#This Row],['# of Skipped (Blank) Payments]],Tbl_A4_MathFunctions_01[[#This Row],['# of Skipped (Blank) Payments ANS]])),Rng_Lkp_AnswerStatus_Good,Rng_Lkp_AnswerStatus_Bad)),Rng_Lkp_AnswerStatus_Bad)</f>
        <v/>
      </c>
      <c r="W31" s="57">
        <f>COUNTBLANK(Tbl_A4_MathFunctions_01[[#This Row],[Payment 01]:[Payment 04]])</f>
        <v>2</v>
      </c>
    </row>
  </sheetData>
  <phoneticPr fontId="21" type="noConversion"/>
  <conditionalFormatting sqref="B5:B6 J6 M6 P6 S6 V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W31">
    <cfRule type="cellIs" dxfId="311" priority="4" operator="equal">
      <formula>Rng_Lkp_AnswerStatus_Bad</formula>
    </cfRule>
    <cfRule type="cellIs" dxfId="310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8C7E-7D41-4559-9E2E-C183055AFC21}">
  <sheetPr>
    <tabColor theme="4"/>
  </sheetPr>
  <dimension ref="A1:U3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52.7109375" style="8" bestFit="1" customWidth="1"/>
    <col min="4" max="4" width="11.42578125" style="8" bestFit="1" customWidth="1"/>
    <col min="5" max="5" width="8.140625" style="8" bestFit="1" customWidth="1"/>
    <col min="6" max="6" width="11.5703125" style="8" hidden="1" customWidth="1" outlineLevel="1"/>
    <col min="7" max="7" width="8.7109375" style="8" customWidth="1" collapsed="1"/>
    <col min="8" max="8" width="21.5703125" style="8" bestFit="1" customWidth="1"/>
    <col min="9" max="9" width="10.140625" style="8" bestFit="1" customWidth="1"/>
    <col min="10" max="10" width="8.140625" style="8" bestFit="1" customWidth="1"/>
    <col min="11" max="11" width="10.7109375" style="8" hidden="1" customWidth="1" outlineLevel="1"/>
    <col min="12" max="12" width="11.85546875" style="8" bestFit="1" customWidth="1" collapsed="1"/>
    <col min="13" max="13" width="8.140625" style="8" bestFit="1" customWidth="1"/>
    <col min="14" max="14" width="13" style="8" hidden="1" customWidth="1" outlineLevel="1"/>
    <col min="15" max="15" width="10.5703125" style="8" bestFit="1" customWidth="1" collapsed="1"/>
    <col min="16" max="16" width="8.140625" style="8" bestFit="1" customWidth="1"/>
    <col min="17" max="17" width="11" style="8" hidden="1" customWidth="1" outlineLevel="1"/>
    <col min="18" max="18" width="5.7109375" style="8" customWidth="1" collapsed="1"/>
    <col min="19" max="19" width="3" style="8" bestFit="1" customWidth="1"/>
    <col min="20" max="20" width="19.140625" style="8" bestFit="1" customWidth="1"/>
    <col min="21" max="21" width="8.85546875" style="8" bestFit="1" customWidth="1"/>
    <col min="22" max="16384" width="9.140625" style="8"/>
  </cols>
  <sheetData>
    <row r="1" spans="1:21" s="6" customFormat="1" ht="21" x14ac:dyDescent="0.35">
      <c r="A1" s="35"/>
      <c r="B1" s="35"/>
      <c r="C1" s="35"/>
      <c r="D1" s="40" t="s">
        <v>142</v>
      </c>
      <c r="E1" s="35"/>
      <c r="F1" s="35"/>
      <c r="G1" s="35"/>
      <c r="I1" s="40"/>
    </row>
    <row r="2" spans="1:21" s="6" customFormat="1" ht="18.75" x14ac:dyDescent="0.3">
      <c r="A2" s="36"/>
      <c r="B2" s="36"/>
      <c r="C2" s="36"/>
      <c r="D2" s="41" t="s">
        <v>24</v>
      </c>
      <c r="E2" s="36"/>
      <c r="F2" s="36"/>
      <c r="G2" s="36"/>
      <c r="I2" s="41"/>
    </row>
    <row r="3" spans="1:21" ht="6.95" customHeight="1" x14ac:dyDescent="0.25"/>
    <row r="4" spans="1:21" ht="17.25" x14ac:dyDescent="0.3">
      <c r="B4" s="64" t="s">
        <v>143</v>
      </c>
      <c r="H4" s="64" t="s">
        <v>63</v>
      </c>
      <c r="S4" s="64" t="s">
        <v>70</v>
      </c>
    </row>
    <row r="5" spans="1:21" ht="6.95" customHeight="1" x14ac:dyDescent="0.25"/>
    <row r="6" spans="1:21" x14ac:dyDescent="0.25">
      <c r="C6" s="107" t="s">
        <v>22</v>
      </c>
      <c r="D6" s="117">
        <v>1</v>
      </c>
      <c r="I6" s="21">
        <v>2</v>
      </c>
      <c r="J6" s="12"/>
      <c r="K6" s="12"/>
      <c r="L6" s="21">
        <v>3</v>
      </c>
      <c r="M6" s="12"/>
      <c r="N6" s="12"/>
      <c r="O6" s="21">
        <v>4</v>
      </c>
      <c r="P6" s="12"/>
      <c r="Q6" s="12"/>
    </row>
    <row r="7" spans="1:21" hidden="1" outlineLevel="1" x14ac:dyDescent="0.25">
      <c r="B7" s="25" t="str">
        <f>IFERROR(IF(SUMIFS(D7:Q7,D6:Q6,"&gt;=0")=0,"",SUMIFS(D7:Q7,D6:Q6,"&gt;=0")/SUMIFS(D7:Q7,D8:Q8,"ANSWER")),"")</f>
        <v/>
      </c>
      <c r="C7" s="22" t="s">
        <v>8</v>
      </c>
      <c r="D7" s="23">
        <f>IFERROR(COUNTA(Tbl_A5_MathReport_DateTime_01[Formula or Value]),"")</f>
        <v>0</v>
      </c>
      <c r="E7" s="24">
        <f>IFERROR(COUNTIF(Tbl_A5_MathReport_DateTime_01[Answer Status Q01],Rng_Lkp_AnswerStatus_Good),"")</f>
        <v>0</v>
      </c>
      <c r="F7" s="24">
        <f ca="1">IFERROR(COUNTA(Tbl_A5_MathReport_DateTime_01[Formula or Value ANS]),"")</f>
        <v>4</v>
      </c>
      <c r="I7" s="23">
        <f>IFERROR(COUNTA(Tbl_A5_MathReport_VendorSummary_01[Payment Amount Total]),"")</f>
        <v>0</v>
      </c>
      <c r="J7" s="24">
        <f>IFERROR(COUNTIF(Tbl_A5_MathReport_VendorSummary_01[Answer Status Q02],Rng_Lkp_AnswerStatus_Good),"")</f>
        <v>0</v>
      </c>
      <c r="K7" s="24">
        <f>IFERROR(COUNTA(Tbl_A5_MathReport_VendorSummary_01[Payment Amount Total ANS]),"")</f>
        <v>8</v>
      </c>
      <c r="L7" s="23">
        <f>IFERROR(COUNTA(Tbl_A5_MathReport_VendorSummary_01[Payment Amount Average]),"")</f>
        <v>0</v>
      </c>
      <c r="M7" s="24">
        <f>IFERROR(COUNTIF(Tbl_A5_MathReport_VendorSummary_01[Answer Status Q03],Rng_Lkp_AnswerStatus_Good),"")</f>
        <v>0</v>
      </c>
      <c r="N7" s="24">
        <f>IFERROR(COUNTA(Tbl_A5_MathReport_VendorSummary_01[Payment Amount Average ANS]),"")</f>
        <v>8</v>
      </c>
      <c r="O7" s="23">
        <f>IFERROR(COUNTA(Tbl_A5_MathReport_VendorSummary_01[Number of Payments]),"")</f>
        <v>0</v>
      </c>
      <c r="P7" s="24">
        <f>IFERROR(COUNTIF(Tbl_A5_MathReport_VendorSummary_01[Answer Status Q04],Rng_Lkp_AnswerStatus_Good),"")</f>
        <v>0</v>
      </c>
      <c r="Q7" s="24">
        <f>IFERROR(COUNTA(Tbl_A5_MathReport_VendorSummary_01[Number of Payments ANS]),"")</f>
        <v>8</v>
      </c>
    </row>
    <row r="8" spans="1:21" collapsed="1" x14ac:dyDescent="0.25">
      <c r="B8" s="101" t="str">
        <f>IFERROR(IF(SUMIFS(D7:Q7,D6:Q6,"&gt;=0")=0,"",SUMIFS(D7:Q7,D8:Q8,"&gt;=0", D8:Q8,"&lt;=1")/SUMIFS(D7:Q7,D6:Q6,"&gt;0")),"")</f>
        <v/>
      </c>
      <c r="C8" s="102" t="s">
        <v>9</v>
      </c>
      <c r="D8" s="118"/>
      <c r="E8" s="20" t="str">
        <f>IFERROR(E7/D7,"")</f>
        <v/>
      </c>
      <c r="F8" s="119" t="s">
        <v>0</v>
      </c>
      <c r="I8" s="43" t="s">
        <v>31</v>
      </c>
      <c r="J8" s="20" t="str">
        <f>IFERROR(J7/I7,"")</f>
        <v/>
      </c>
      <c r="K8" s="13" t="s">
        <v>0</v>
      </c>
      <c r="L8" s="51" t="s">
        <v>32</v>
      </c>
      <c r="M8" s="20" t="str">
        <f>IFERROR(M7/L7,"")</f>
        <v/>
      </c>
      <c r="N8" s="13" t="s">
        <v>0</v>
      </c>
      <c r="O8" s="51" t="s">
        <v>33</v>
      </c>
      <c r="P8" s="20" t="str">
        <f>IFERROR(P7/O7,"")</f>
        <v/>
      </c>
      <c r="Q8" s="13" t="s">
        <v>0</v>
      </c>
    </row>
    <row r="9" spans="1:21" ht="45" x14ac:dyDescent="0.25">
      <c r="B9" s="113" t="s">
        <v>20</v>
      </c>
      <c r="C9" s="114" t="s">
        <v>144</v>
      </c>
      <c r="D9" s="115" t="s">
        <v>145</v>
      </c>
      <c r="E9" s="18" t="s">
        <v>4</v>
      </c>
      <c r="F9" s="116" t="s">
        <v>146</v>
      </c>
      <c r="H9" s="15" t="s">
        <v>34</v>
      </c>
      <c r="I9" s="16" t="s">
        <v>64</v>
      </c>
      <c r="J9" s="18" t="s">
        <v>5</v>
      </c>
      <c r="K9" s="17" t="s">
        <v>67</v>
      </c>
      <c r="L9" s="16" t="s">
        <v>65</v>
      </c>
      <c r="M9" s="18" t="s">
        <v>6</v>
      </c>
      <c r="N9" s="17" t="s">
        <v>68</v>
      </c>
      <c r="O9" s="16" t="s">
        <v>66</v>
      </c>
      <c r="P9" s="18" t="s">
        <v>7</v>
      </c>
      <c r="Q9" s="17" t="s">
        <v>69</v>
      </c>
      <c r="S9" s="65" t="s">
        <v>20</v>
      </c>
      <c r="T9" s="65" t="s">
        <v>34</v>
      </c>
      <c r="U9" s="66" t="s">
        <v>74</v>
      </c>
    </row>
    <row r="10" spans="1:21" x14ac:dyDescent="0.25">
      <c r="B10" s="9">
        <v>1</v>
      </c>
      <c r="C10" s="108" t="s">
        <v>354</v>
      </c>
      <c r="D10" s="112"/>
      <c r="E10" s="19" t="str">
        <f>IFERROR(IF(Tbl_A5_MathReport_DateTime_01[[#This Row],[Formula or Value]]="","",IF(AND(_xlfn.ISFORMULA(Tbl_A5_MathReport_DateTime_01[[#This Row],[Formula or Value]]),EXACT(Tbl_A5_MathReport_DateTime_01[[#This Row],[Formula or Value]],Tbl_A5_MathReport_DateTime_01[[#This Row],[Formula or Value ANS]])),Rng_Lkp_AnswerStatus_Good,Rng_Lkp_AnswerStatus_Bad)),Rng_Lkp_AnswerStatus_Bad)</f>
        <v/>
      </c>
      <c r="F10" s="10">
        <f ca="1">TODAY()</f>
        <v>45071</v>
      </c>
      <c r="H10" s="10" t="s">
        <v>35</v>
      </c>
      <c r="I10" s="37"/>
      <c r="J10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0" s="48">
        <f>SUMIFS(Tbl_A5_MathReport_ReportData_01[Payment Amount],Tbl_A5_MathReport_ReportData_01[Vendor Name],Tbl_A5_MathReport_VendorSummary_01[[#This Row],[Vendor Name]])</f>
        <v>4270</v>
      </c>
      <c r="L10" s="37"/>
      <c r="M10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0" s="39">
        <f>AVERAGEIFS(Tbl_A5_MathReport_ReportData_01[Payment Amount],Tbl_A5_MathReport_ReportData_01[Vendor Name],Tbl_A5_MathReport_VendorSummary_01[[#This Row],[Vendor Name]])</f>
        <v>533.75</v>
      </c>
      <c r="O10" s="58"/>
      <c r="P10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0" s="54">
        <f>COUNTIFS(Tbl_A5_MathReport_ReportData_01[Vendor Name],Tbl_A5_MathReport_VendorSummary_01[[#This Row],[Vendor Name]])</f>
        <v>8</v>
      </c>
      <c r="S10" s="9">
        <v>1</v>
      </c>
      <c r="T10" t="s">
        <v>35</v>
      </c>
      <c r="U10" s="34">
        <v>315</v>
      </c>
    </row>
    <row r="11" spans="1:21" x14ac:dyDescent="0.25">
      <c r="B11" s="9">
        <v>2</v>
      </c>
      <c r="C11" s="108" t="s">
        <v>355</v>
      </c>
      <c r="D11" s="111"/>
      <c r="E11" s="19" t="str">
        <f>IFERROR(IF(Tbl_A5_MathReport_DateTime_01[[#This Row],[Formula or Value]]="","",IF(AND(_xlfn.ISFORMULA(Tbl_A5_MathReport_DateTime_01[[#This Row],[Formula or Value]]),EXACT(Tbl_A5_MathReport_DateTime_01[[#This Row],[Formula or Value]],Tbl_A5_MathReport_DateTime_01[[#This Row],[Formula or Value ANS]])),Rng_Lkp_AnswerStatus_Good,Rng_Lkp_AnswerStatus_Bad)),Rng_Lkp_AnswerStatus_Bad)</f>
        <v/>
      </c>
      <c r="F11" s="109">
        <f ca="1">NOW()</f>
        <v>45071.464895254627</v>
      </c>
      <c r="H11" s="10" t="s">
        <v>44</v>
      </c>
      <c r="I11" s="38"/>
      <c r="J11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1" s="48">
        <f>SUMIFS(Tbl_A5_MathReport_ReportData_01[Payment Amount],Tbl_A5_MathReport_ReportData_01[Vendor Name],Tbl_A5_MathReport_VendorSummary_01[[#This Row],[Vendor Name]])</f>
        <v>1515</v>
      </c>
      <c r="L11" s="38"/>
      <c r="M11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1" s="39">
        <f>AVERAGEIFS(Tbl_A5_MathReport_ReportData_01[Payment Amount],Tbl_A5_MathReport_ReportData_01[Vendor Name],Tbl_A5_MathReport_VendorSummary_01[[#This Row],[Vendor Name]])</f>
        <v>505</v>
      </c>
      <c r="O11" s="58"/>
      <c r="P11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1" s="54">
        <f>COUNTIFS(Tbl_A5_MathReport_ReportData_01[Vendor Name],Tbl_A5_MathReport_VendorSummary_01[[#This Row],[Vendor Name]])</f>
        <v>3</v>
      </c>
      <c r="S11" s="9">
        <v>2</v>
      </c>
      <c r="T11" t="s">
        <v>35</v>
      </c>
      <c r="U11" s="34">
        <v>370</v>
      </c>
    </row>
    <row r="12" spans="1:21" x14ac:dyDescent="0.25">
      <c r="B12" s="9">
        <v>3</v>
      </c>
      <c r="C12" s="108" t="s">
        <v>356</v>
      </c>
      <c r="D12" s="110"/>
      <c r="E12" s="19" t="str">
        <f>IFERROR(IF(Tbl_A5_MathReport_DateTime_01[[#This Row],[Formula or Value]]="","",IF(AND(NOT(_xlfn.ISFORMULA(Tbl_A5_MathReport_DateTime_01[[#This Row],[Formula or Value]])),ISNUMBER(Tbl_A5_MathReport_DateTime_01[[#This Row],[Formula or Value]]),Tbl_A5_MathReport_DateTime_01[[#This Row],[Formula or Value]]&gt;0),Rng_Lkp_AnswerStatus_Good,Rng_Lkp_AnswerStatus_Bad)),Rng_Lkp_AnswerStatus_Bad)</f>
        <v/>
      </c>
      <c r="F12" s="10">
        <v>45070</v>
      </c>
      <c r="H12" s="10" t="s">
        <v>36</v>
      </c>
      <c r="I12" s="38"/>
      <c r="J12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2" s="48">
        <f>SUMIFS(Tbl_A5_MathReport_ReportData_01[Payment Amount],Tbl_A5_MathReport_ReportData_01[Vendor Name],Tbl_A5_MathReport_VendorSummary_01[[#This Row],[Vendor Name]])</f>
        <v>250</v>
      </c>
      <c r="L12" s="38"/>
      <c r="M12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2" s="39">
        <f>AVERAGEIFS(Tbl_A5_MathReport_ReportData_01[Payment Amount],Tbl_A5_MathReport_ReportData_01[Vendor Name],Tbl_A5_MathReport_VendorSummary_01[[#This Row],[Vendor Name]])</f>
        <v>250</v>
      </c>
      <c r="O12" s="58"/>
      <c r="P12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2" s="54">
        <f>COUNTIFS(Tbl_A5_MathReport_ReportData_01[Vendor Name],Tbl_A5_MathReport_VendorSummary_01[[#This Row],[Vendor Name]])</f>
        <v>1</v>
      </c>
      <c r="S12" s="9">
        <v>3</v>
      </c>
      <c r="T12" t="s">
        <v>137</v>
      </c>
      <c r="U12" s="34">
        <v>200</v>
      </c>
    </row>
    <row r="13" spans="1:21" x14ac:dyDescent="0.25">
      <c r="B13" s="9">
        <v>4</v>
      </c>
      <c r="C13" s="108" t="s">
        <v>357</v>
      </c>
      <c r="D13" s="111"/>
      <c r="E13" s="19" t="str">
        <f>IFERROR(IF(Tbl_A5_MathReport_DateTime_01[[#This Row],[Formula or Value]]="","",IF(AND(NOT(_xlfn.ISFORMULA(Tbl_A5_MathReport_DateTime_01[[#This Row],[Formula or Value]])),ISNUMBER(Tbl_A5_MathReport_DateTime_01[[#This Row],[Formula or Value]]),Tbl_A5_MathReport_DateTime_01[[#This Row],[Formula or Value]]&gt;=0,Tbl_A5_MathReport_DateTime_01[[#This Row],[Formula or Value]]&lt;=1),Rng_Lkp_AnswerStatus_Good,Rng_Lkp_AnswerStatus_Bad)),Rng_Lkp_AnswerStatus_Bad)</f>
        <v/>
      </c>
      <c r="F13" s="109">
        <v>0.5</v>
      </c>
      <c r="H13" s="10" t="s">
        <v>37</v>
      </c>
      <c r="I13" s="38"/>
      <c r="J13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3" s="48">
        <f>SUMIFS(Tbl_A5_MathReport_ReportData_01[Payment Amount],Tbl_A5_MathReport_ReportData_01[Vendor Name],Tbl_A5_MathReport_VendorSummary_01[[#This Row],[Vendor Name]])</f>
        <v>270</v>
      </c>
      <c r="L13" s="38"/>
      <c r="M13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3" s="39">
        <f>AVERAGEIFS(Tbl_A5_MathReport_ReportData_01[Payment Amount],Tbl_A5_MathReport_ReportData_01[Vendor Name],Tbl_A5_MathReport_VendorSummary_01[[#This Row],[Vendor Name]])</f>
        <v>270</v>
      </c>
      <c r="O13" s="58"/>
      <c r="P13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3" s="54">
        <f>COUNTIFS(Tbl_A5_MathReport_ReportData_01[Vendor Name],Tbl_A5_MathReport_VendorSummary_01[[#This Row],[Vendor Name]])</f>
        <v>1</v>
      </c>
      <c r="S13" s="9">
        <v>4</v>
      </c>
      <c r="T13" t="s">
        <v>36</v>
      </c>
      <c r="U13" s="34">
        <v>250</v>
      </c>
    </row>
    <row r="14" spans="1:21" x14ac:dyDescent="0.25">
      <c r="H14" s="10" t="s">
        <v>38</v>
      </c>
      <c r="I14" s="38"/>
      <c r="J14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4" s="48">
        <f>SUMIFS(Tbl_A5_MathReport_ReportData_01[Payment Amount],Tbl_A5_MathReport_ReportData_01[Vendor Name],Tbl_A5_MathReport_VendorSummary_01[[#This Row],[Vendor Name]])</f>
        <v>615</v>
      </c>
      <c r="L14" s="38"/>
      <c r="M14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4" s="39">
        <f>AVERAGEIFS(Tbl_A5_MathReport_ReportData_01[Payment Amount],Tbl_A5_MathReport_ReportData_01[Vendor Name],Tbl_A5_MathReport_VendorSummary_01[[#This Row],[Vendor Name]])</f>
        <v>615</v>
      </c>
      <c r="O14" s="58"/>
      <c r="P14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4" s="54">
        <f>COUNTIFS(Tbl_A5_MathReport_ReportData_01[Vendor Name],Tbl_A5_MathReport_VendorSummary_01[[#This Row],[Vendor Name]])</f>
        <v>1</v>
      </c>
      <c r="S14" s="9">
        <v>5</v>
      </c>
      <c r="T14" t="s">
        <v>37</v>
      </c>
      <c r="U14" s="34">
        <v>270</v>
      </c>
    </row>
    <row r="15" spans="1:21" x14ac:dyDescent="0.25">
      <c r="H15" s="10" t="s">
        <v>39</v>
      </c>
      <c r="I15" s="38"/>
      <c r="J15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5" s="48">
        <f>SUMIFS(Tbl_A5_MathReport_ReportData_01[Payment Amount],Tbl_A5_MathReport_ReportData_01[Vendor Name],Tbl_A5_MathReport_VendorSummary_01[[#This Row],[Vendor Name]])</f>
        <v>1000</v>
      </c>
      <c r="L15" s="38"/>
      <c r="M15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5" s="39">
        <f>AVERAGEIFS(Tbl_A5_MathReport_ReportData_01[Payment Amount],Tbl_A5_MathReport_ReportData_01[Vendor Name],Tbl_A5_MathReport_VendorSummary_01[[#This Row],[Vendor Name]])</f>
        <v>1000</v>
      </c>
      <c r="O15" s="58"/>
      <c r="P15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5" s="54">
        <f>COUNTIFS(Tbl_A5_MathReport_ReportData_01[Vendor Name],Tbl_A5_MathReport_VendorSummary_01[[#This Row],[Vendor Name]])</f>
        <v>1</v>
      </c>
      <c r="S15" s="9">
        <v>6</v>
      </c>
      <c r="T15" t="s">
        <v>38</v>
      </c>
      <c r="U15" s="34">
        <v>615</v>
      </c>
    </row>
    <row r="16" spans="1:21" x14ac:dyDescent="0.25">
      <c r="H16" s="10" t="s">
        <v>40</v>
      </c>
      <c r="I16" s="38"/>
      <c r="J16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6" s="48">
        <f>SUMIFS(Tbl_A5_MathReport_ReportData_01[Payment Amount],Tbl_A5_MathReport_ReportData_01[Vendor Name],Tbl_A5_MathReport_VendorSummary_01[[#This Row],[Vendor Name]])</f>
        <v>475</v>
      </c>
      <c r="L16" s="38"/>
      <c r="M16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6" s="39">
        <f>AVERAGEIFS(Tbl_A5_MathReport_ReportData_01[Payment Amount],Tbl_A5_MathReport_ReportData_01[Vendor Name],Tbl_A5_MathReport_VendorSummary_01[[#This Row],[Vendor Name]])</f>
        <v>475</v>
      </c>
      <c r="O16" s="58"/>
      <c r="P16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6" s="54">
        <f>COUNTIFS(Tbl_A5_MathReport_ReportData_01[Vendor Name],Tbl_A5_MathReport_VendorSummary_01[[#This Row],[Vendor Name]])</f>
        <v>1</v>
      </c>
      <c r="S16" s="9">
        <v>7</v>
      </c>
      <c r="T16" t="s">
        <v>39</v>
      </c>
      <c r="U16" s="34">
        <v>1000</v>
      </c>
    </row>
    <row r="17" spans="8:21" x14ac:dyDescent="0.25">
      <c r="H17" s="10" t="s">
        <v>41</v>
      </c>
      <c r="I17" s="38"/>
      <c r="J17" s="19" t="str">
        <f>IFERROR(IF(Tbl_A5_MathReport_VendorSummary_01[[#This Row],[Payment Amount Total]]="","",IF(AND(_xlfn.ISFORMULA(Tbl_A5_MathReport_VendorSummary_01[[#This Row],[Payment Amount Total]]),EXACT(Tbl_A5_MathReport_VendorSummary_01[[#This Row],[Payment Amount Total]],Tbl_A5_MathReport_VendorSummary_01[[#This Row],[Payment Amount Total ANS]])),Rng_Lkp_AnswerStatus_Good,Rng_Lkp_AnswerStatus_Bad)),Rng_Lkp_AnswerStatus_Bad)</f>
        <v/>
      </c>
      <c r="K17" s="48">
        <f>SUMIFS(Tbl_A5_MathReport_ReportData_01[Payment Amount],Tbl_A5_MathReport_ReportData_01[Vendor Name],Tbl_A5_MathReport_VendorSummary_01[[#This Row],[Vendor Name]])</f>
        <v>1125</v>
      </c>
      <c r="L17" s="38"/>
      <c r="M17" s="19" t="str">
        <f>IFERROR(IF(Tbl_A5_MathReport_VendorSummary_01[[#This Row],[Payment Amount Average]]="","",IF(AND(_xlfn.ISFORMULA(Tbl_A5_MathReport_VendorSummary_01[[#This Row],[Payment Amount Average]]),EXACT(Tbl_A5_MathReport_VendorSummary_01[[#This Row],[Payment Amount Average]],Tbl_A5_MathReport_VendorSummary_01[[#This Row],[Payment Amount Average ANS]])),Rng_Lkp_AnswerStatus_Good,Rng_Lkp_AnswerStatus_Bad)),Rng_Lkp_AnswerStatus_Bad)</f>
        <v/>
      </c>
      <c r="N17" s="39">
        <f>AVERAGEIFS(Tbl_A5_MathReport_ReportData_01[Payment Amount],Tbl_A5_MathReport_ReportData_01[Vendor Name],Tbl_A5_MathReport_VendorSummary_01[[#This Row],[Vendor Name]])</f>
        <v>1125</v>
      </c>
      <c r="O17" s="58"/>
      <c r="P17" s="19" t="str">
        <f>IFERROR(IF(Tbl_A5_MathReport_VendorSummary_01[[#This Row],[Number of Payments]]="","",IF(AND(_xlfn.ISFORMULA(Tbl_A5_MathReport_VendorSummary_01[[#This Row],[Number of Payments]]),EXACT(Tbl_A5_MathReport_VendorSummary_01[[#This Row],[Number of Payments]],Tbl_A5_MathReport_VendorSummary_01[[#This Row],[Number of Payments ANS]])),Rng_Lkp_AnswerStatus_Good,Rng_Lkp_AnswerStatus_Bad)),Rng_Lkp_AnswerStatus_Bad)</f>
        <v/>
      </c>
      <c r="Q17" s="54">
        <f>COUNTIFS(Tbl_A5_MathReport_ReportData_01[Vendor Name],Tbl_A5_MathReport_VendorSummary_01[[#This Row],[Vendor Name]])</f>
        <v>1</v>
      </c>
      <c r="S17" s="9">
        <v>8</v>
      </c>
      <c r="T17" t="s">
        <v>35</v>
      </c>
      <c r="U17" s="34">
        <v>980</v>
      </c>
    </row>
    <row r="18" spans="8:21" x14ac:dyDescent="0.25">
      <c r="S18" s="9">
        <v>9</v>
      </c>
      <c r="T18" t="s">
        <v>35</v>
      </c>
      <c r="U18" s="34">
        <v>385</v>
      </c>
    </row>
    <row r="19" spans="8:21" x14ac:dyDescent="0.25">
      <c r="S19" s="9">
        <v>10</v>
      </c>
      <c r="T19" t="s">
        <v>35</v>
      </c>
      <c r="U19" s="34">
        <v>775</v>
      </c>
    </row>
    <row r="20" spans="8:21" x14ac:dyDescent="0.25">
      <c r="S20" s="9">
        <v>11</v>
      </c>
      <c r="T20" t="s">
        <v>40</v>
      </c>
      <c r="U20" s="34">
        <v>475</v>
      </c>
    </row>
    <row r="21" spans="8:21" x14ac:dyDescent="0.25">
      <c r="S21" s="9">
        <v>12</v>
      </c>
      <c r="T21" t="s">
        <v>41</v>
      </c>
      <c r="U21" s="34">
        <v>1125</v>
      </c>
    </row>
    <row r="22" spans="8:21" x14ac:dyDescent="0.25">
      <c r="S22" s="9">
        <v>13</v>
      </c>
      <c r="T22" t="s">
        <v>42</v>
      </c>
      <c r="U22" s="34">
        <v>450</v>
      </c>
    </row>
    <row r="23" spans="8:21" x14ac:dyDescent="0.25">
      <c r="S23" s="9">
        <v>14</v>
      </c>
      <c r="T23" t="s">
        <v>43</v>
      </c>
      <c r="U23" s="34">
        <v>750</v>
      </c>
    </row>
    <row r="24" spans="8:21" x14ac:dyDescent="0.25">
      <c r="S24" s="9">
        <v>15</v>
      </c>
      <c r="T24" t="s">
        <v>137</v>
      </c>
      <c r="U24" s="34">
        <v>275</v>
      </c>
    </row>
    <row r="25" spans="8:21" x14ac:dyDescent="0.25">
      <c r="S25" s="9">
        <v>16</v>
      </c>
      <c r="T25" t="s">
        <v>44</v>
      </c>
      <c r="U25" s="34">
        <v>255</v>
      </c>
    </row>
    <row r="26" spans="8:21" x14ac:dyDescent="0.25">
      <c r="S26" s="9">
        <v>17</v>
      </c>
      <c r="T26" t="s">
        <v>35</v>
      </c>
      <c r="U26" s="34">
        <v>290</v>
      </c>
    </row>
    <row r="27" spans="8:21" x14ac:dyDescent="0.25">
      <c r="S27" s="9">
        <v>18</v>
      </c>
      <c r="T27" t="s">
        <v>45</v>
      </c>
      <c r="U27" s="34">
        <v>475</v>
      </c>
    </row>
    <row r="28" spans="8:21" x14ac:dyDescent="0.25">
      <c r="S28" s="9">
        <v>19</v>
      </c>
      <c r="T28" t="s">
        <v>44</v>
      </c>
      <c r="U28" s="34">
        <v>285</v>
      </c>
    </row>
    <row r="29" spans="8:21" x14ac:dyDescent="0.25">
      <c r="S29" s="9">
        <v>20</v>
      </c>
      <c r="T29" t="s">
        <v>44</v>
      </c>
      <c r="U29" s="34">
        <v>975</v>
      </c>
    </row>
    <row r="30" spans="8:21" x14ac:dyDescent="0.25">
      <c r="S30" s="9">
        <v>21</v>
      </c>
      <c r="T30" t="s">
        <v>35</v>
      </c>
      <c r="U30" s="34">
        <v>175</v>
      </c>
    </row>
    <row r="31" spans="8:21" x14ac:dyDescent="0.25">
      <c r="S31" s="9">
        <v>22</v>
      </c>
      <c r="T31" t="s">
        <v>35</v>
      </c>
      <c r="U31" s="34">
        <v>980</v>
      </c>
    </row>
    <row r="32" spans="8:21" x14ac:dyDescent="0.25">
      <c r="S32" s="9">
        <v>23</v>
      </c>
      <c r="T32" t="s">
        <v>137</v>
      </c>
      <c r="U32" s="34">
        <v>700</v>
      </c>
    </row>
    <row r="33" spans="19:21" x14ac:dyDescent="0.25">
      <c r="S33" s="9">
        <v>24</v>
      </c>
      <c r="T33" t="s">
        <v>45</v>
      </c>
      <c r="U33" s="34">
        <v>285</v>
      </c>
    </row>
  </sheetData>
  <conditionalFormatting sqref="B7:B8 E8 J8 M8 P8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F13 H10:Q17">
    <cfRule type="cellIs" dxfId="270" priority="8" operator="equal">
      <formula>Rng_Lkp_AnswerStatus_Bad</formula>
    </cfRule>
    <cfRule type="cellIs" dxfId="269" priority="9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2D8D-A668-4329-A8B9-CA7F47F3DB57}">
  <sheetPr>
    <tabColor theme="8"/>
  </sheetPr>
  <dimension ref="A1:W31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9.140625" style="8" bestFit="1" customWidth="1"/>
    <col min="4" max="4" width="11.140625" style="8" bestFit="1" customWidth="1"/>
    <col min="5" max="5" width="12.5703125" style="8" bestFit="1" customWidth="1"/>
    <col min="6" max="6" width="8.140625" style="8" bestFit="1" customWidth="1"/>
    <col min="7" max="7" width="17.140625" style="8" hidden="1" customWidth="1" outlineLevel="1"/>
    <col min="8" max="8" width="14.42578125" style="8" bestFit="1" customWidth="1" collapsed="1"/>
    <col min="9" max="9" width="8.140625" style="8" bestFit="1" customWidth="1"/>
    <col min="10" max="10" width="18" style="8" hidden="1" customWidth="1" outlineLevel="1"/>
    <col min="11" max="11" width="15.7109375" style="8" customWidth="1" collapsed="1"/>
    <col min="12" max="12" width="8.140625" style="8" bestFit="1" customWidth="1"/>
    <col min="13" max="13" width="18" style="8" hidden="1" customWidth="1" outlineLevel="1"/>
    <col min="14" max="14" width="11.28515625" style="8" bestFit="1" customWidth="1" collapsed="1"/>
    <col min="15" max="15" width="8.140625" style="8" bestFit="1" customWidth="1"/>
    <col min="16" max="16" width="15.140625" style="8" hidden="1" customWidth="1" outlineLevel="1"/>
    <col min="17" max="17" width="14.42578125" style="8" bestFit="1" customWidth="1" collapsed="1"/>
    <col min="18" max="18" width="8.140625" style="8" bestFit="1" customWidth="1"/>
    <col min="19" max="19" width="15.140625" style="8" hidden="1" customWidth="1" outlineLevel="1"/>
    <col min="20" max="20" width="15.7109375" style="8" customWidth="1" collapsed="1"/>
    <col min="21" max="21" width="8.140625" style="8" bestFit="1" customWidth="1"/>
    <col min="22" max="22" width="17.5703125" style="8" hidden="1" customWidth="1" outlineLevel="1"/>
    <col min="23" max="23" width="9.140625" style="8" collapsed="1"/>
    <col min="24" max="16384" width="9.140625" style="8"/>
  </cols>
  <sheetData>
    <row r="1" spans="1:22" s="6" customFormat="1" ht="21" x14ac:dyDescent="0.35">
      <c r="A1" s="35"/>
      <c r="B1" s="3"/>
      <c r="E1" s="40" t="s">
        <v>147</v>
      </c>
    </row>
    <row r="2" spans="1:22" s="6" customFormat="1" ht="18.75" x14ac:dyDescent="0.3">
      <c r="A2" s="36"/>
      <c r="B2" s="7"/>
      <c r="E2" s="41" t="s">
        <v>24</v>
      </c>
    </row>
    <row r="3" spans="1:22" ht="6.95" customHeight="1" x14ac:dyDescent="0.25"/>
    <row r="4" spans="1:22" x14ac:dyDescent="0.25">
      <c r="D4" s="103" t="s">
        <v>22</v>
      </c>
      <c r="E4" s="21">
        <v>1</v>
      </c>
      <c r="F4" s="12"/>
      <c r="G4" s="12"/>
      <c r="H4" s="21">
        <v>2</v>
      </c>
      <c r="I4" s="12"/>
      <c r="J4" s="12"/>
      <c r="K4" s="21">
        <v>3</v>
      </c>
      <c r="L4" s="12"/>
      <c r="M4" s="12"/>
      <c r="N4" s="21">
        <v>4</v>
      </c>
      <c r="O4" s="12"/>
      <c r="P4" s="12"/>
      <c r="Q4" s="21">
        <v>5</v>
      </c>
      <c r="R4" s="12"/>
      <c r="S4" s="12"/>
      <c r="T4" s="21">
        <v>6</v>
      </c>
      <c r="U4" s="12"/>
      <c r="V4" s="12"/>
    </row>
    <row r="5" spans="1:22" hidden="1" outlineLevel="1" x14ac:dyDescent="0.25">
      <c r="B5" s="25" t="str">
        <f>IFERROR(IF(SUMIFS(E5:V5,E4:V4,"&gt;=0")=0,"",SUMIFS(E5:V5,E4:V4,"&gt;=0")/SUMIFS(E5:V5,E6:V6,"ANSWER")),"")</f>
        <v/>
      </c>
      <c r="C5" s="22" t="s">
        <v>8</v>
      </c>
      <c r="D5" s="103"/>
      <c r="E5" s="23">
        <f>IFERROR(COUNTA(Tbl_BONUS_01_MathFunctions_01[Day Rate Rounded to Nearest Cent]),"")</f>
        <v>0</v>
      </c>
      <c r="F5" s="24">
        <f>IFERROR(COUNTIF(Tbl_BONUS_01_MathFunctions_01[Answer Status Q01],Rng_Lkp_AnswerStatus_Good),"")</f>
        <v>0</v>
      </c>
      <c r="G5" s="24">
        <f>IFERROR(COUNTA(Tbl_BONUS_01_MathFunctions_01[Day Rate Rounded to Nearest Cent ANS]),"")</f>
        <v>24</v>
      </c>
      <c r="H5" s="23">
        <f>IFERROR(COUNTA(Tbl_BONUS_01_MathFunctions_01[Day Rate Rounded UP to Nearest Cent]),"")</f>
        <v>0</v>
      </c>
      <c r="I5" s="24">
        <f>IFERROR(COUNTIF(Tbl_BONUS_01_MathFunctions_01[Answer Status Q02],Rng_Lkp_AnswerStatus_Good),"")</f>
        <v>0</v>
      </c>
      <c r="J5" s="24">
        <f>IFERROR(COUNTA(Tbl_BONUS_01_MathFunctions_01[Day Rate Rounded UP to Nearest Cent ANS]),"")</f>
        <v>24</v>
      </c>
      <c r="K5" s="23">
        <f>IFERROR(COUNTA(Tbl_BONUS_01_MathFunctions_01[Day Rate Rounded DOWN to Nearest Cent]),"")</f>
        <v>0</v>
      </c>
      <c r="L5" s="24">
        <f>IFERROR(COUNTIF(Tbl_BONUS_01_MathFunctions_01[Answer Status Q03],Rng_Lkp_AnswerStatus_Good),"")</f>
        <v>0</v>
      </c>
      <c r="M5" s="24">
        <f>IFERROR(COUNTA(Tbl_BONUS_01_MathFunctions_01[Day Rate Rounded DOWN to Nearest Cent ANS]),"")</f>
        <v>24</v>
      </c>
      <c r="N5" s="23">
        <f>IFERROR(COUNTA(Tbl_BONUS_01_MathFunctions_01[Day Rate Rounded to Nearest $5]),"")</f>
        <v>0</v>
      </c>
      <c r="O5" s="24">
        <f>IFERROR(COUNTIF(Tbl_BONUS_01_MathFunctions_01[Answer Status Q04],Rng_Lkp_AnswerStatus_Good),"")</f>
        <v>0</v>
      </c>
      <c r="P5" s="24">
        <f>IFERROR(COUNTA(Tbl_BONUS_01_MathFunctions_01[Day Rate Rounded to Nearest $5 ANS]),"")</f>
        <v>24</v>
      </c>
      <c r="Q5" s="23">
        <f>IFERROR(COUNTA(Tbl_BONUS_01_MathFunctions_01[Day Rate Rounded UP to Nearest $5]),"")</f>
        <v>0</v>
      </c>
      <c r="R5" s="24">
        <f>IFERROR(COUNTIF(Tbl_BONUS_01_MathFunctions_01[Answer Status Q05],Rng_Lkp_AnswerStatus_Good),"")</f>
        <v>0</v>
      </c>
      <c r="S5" s="24">
        <f>IFERROR(COUNTA(Tbl_BONUS_01_MathFunctions_01[Day Rate Rounded UP to Nearest $5 ANS]),"")</f>
        <v>24</v>
      </c>
      <c r="T5" s="23">
        <f>IFERROR(COUNTA(Tbl_BONUS_01_MathFunctions_01[Day Rate Rounded DOWN to Nearest $5]),"")</f>
        <v>0</v>
      </c>
      <c r="U5" s="24">
        <f>IFERROR(COUNTIF(Tbl_BONUS_01_MathFunctions_01[Answer Status Q06],Rng_Lkp_AnswerStatus_Good),"")</f>
        <v>0</v>
      </c>
      <c r="V5" s="24">
        <f>IFERROR(COUNTA(Tbl_BONUS_01_MathFunctions_01[Day Rate Rounded DOWN to Nearest $5 ANS]),"")</f>
        <v>24</v>
      </c>
    </row>
    <row r="6" spans="1:22" collapsed="1" x14ac:dyDescent="0.25">
      <c r="B6" s="25" t="str">
        <f>IFERROR(IF(SUMIFS(E5:V5,E4:V4,"&gt;=0")=0,"",SUMIFS(E5:V5,E6:V6,"&gt;=0", E6:V6,"&lt;=1")/SUMIFS(E5:V5,E4:V4,"&gt;0")),"")</f>
        <v/>
      </c>
      <c r="C6" s="22" t="s">
        <v>9</v>
      </c>
      <c r="D6" s="104"/>
      <c r="E6" s="43" t="s">
        <v>29</v>
      </c>
      <c r="F6" s="20" t="str">
        <f>IFERROR(F5/E5,"")</f>
        <v/>
      </c>
      <c r="G6" s="13" t="s">
        <v>0</v>
      </c>
      <c r="H6" s="51" t="s">
        <v>161</v>
      </c>
      <c r="I6" s="20" t="str">
        <f>IFERROR(I5/H5,"")</f>
        <v/>
      </c>
      <c r="J6" s="13" t="s">
        <v>0</v>
      </c>
      <c r="K6" s="51" t="s">
        <v>162</v>
      </c>
      <c r="L6" s="20" t="str">
        <f>IFERROR(L5/K5,"")</f>
        <v/>
      </c>
      <c r="M6" s="13" t="s">
        <v>0</v>
      </c>
      <c r="N6" s="43" t="s">
        <v>30</v>
      </c>
      <c r="O6" s="20" t="str">
        <f>IFERROR(O5/N5,"")</f>
        <v/>
      </c>
      <c r="P6" s="13" t="s">
        <v>0</v>
      </c>
      <c r="Q6" s="51" t="s">
        <v>163</v>
      </c>
      <c r="R6" s="20" t="str">
        <f>IFERROR(R5/Q5,"")</f>
        <v/>
      </c>
      <c r="S6" s="13" t="s">
        <v>0</v>
      </c>
      <c r="T6" s="51" t="s">
        <v>164</v>
      </c>
      <c r="U6" s="20" t="str">
        <f>IFERROR(U5/T5,"")</f>
        <v/>
      </c>
      <c r="V6" s="13" t="s">
        <v>0</v>
      </c>
    </row>
    <row r="7" spans="1:22" ht="45" x14ac:dyDescent="0.25">
      <c r="B7" s="15" t="s">
        <v>20</v>
      </c>
      <c r="C7" s="15" t="s">
        <v>34</v>
      </c>
      <c r="D7" s="105" t="s">
        <v>148</v>
      </c>
      <c r="E7" s="16" t="s">
        <v>149</v>
      </c>
      <c r="F7" s="18" t="s">
        <v>4</v>
      </c>
      <c r="G7" s="17" t="s">
        <v>150</v>
      </c>
      <c r="H7" s="16" t="s">
        <v>151</v>
      </c>
      <c r="I7" s="18" t="s">
        <v>5</v>
      </c>
      <c r="J7" s="17" t="s">
        <v>152</v>
      </c>
      <c r="K7" s="16" t="s">
        <v>153</v>
      </c>
      <c r="L7" s="18" t="s">
        <v>6</v>
      </c>
      <c r="M7" s="17" t="s">
        <v>154</v>
      </c>
      <c r="N7" s="16" t="s">
        <v>155</v>
      </c>
      <c r="O7" s="18" t="s">
        <v>7</v>
      </c>
      <c r="P7" s="17" t="s">
        <v>156</v>
      </c>
      <c r="Q7" s="52" t="s">
        <v>157</v>
      </c>
      <c r="R7" s="27" t="s">
        <v>11</v>
      </c>
      <c r="S7" s="53" t="s">
        <v>158</v>
      </c>
      <c r="T7" s="52" t="s">
        <v>159</v>
      </c>
      <c r="U7" s="27" t="s">
        <v>12</v>
      </c>
      <c r="V7" s="53" t="s">
        <v>160</v>
      </c>
    </row>
    <row r="8" spans="1:22" x14ac:dyDescent="0.25">
      <c r="B8" s="9">
        <v>1</v>
      </c>
      <c r="C8" s="10" t="s">
        <v>35</v>
      </c>
      <c r="D8" s="120">
        <v>382.8888</v>
      </c>
      <c r="E8" s="121"/>
      <c r="F8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8" s="62">
        <f>ROUND(Tbl_BONUS_01_MathFunctions_01[[#This Row],[Day Rate]],2)</f>
        <v>382.89</v>
      </c>
      <c r="H8" s="121"/>
      <c r="I8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8" s="62">
        <f>ROUNDUP(Tbl_BONUS_01_MathFunctions_01[[#This Row],[Day Rate]],2)</f>
        <v>382.89</v>
      </c>
      <c r="K8" s="60"/>
      <c r="L8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8" s="62">
        <f>ROUNDDOWN(Tbl_BONUS_01_MathFunctions_01[[#This Row],[Day Rate]],2)</f>
        <v>382.88</v>
      </c>
      <c r="N8" s="60"/>
      <c r="O8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8" s="62">
        <f>MROUND(Tbl_BONUS_01_MathFunctions_01[[#This Row],[Day Rate]],5)</f>
        <v>385</v>
      </c>
      <c r="Q8" s="60"/>
      <c r="R8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8" s="62">
        <f>CEILING(Tbl_BONUS_01_MathFunctions_01[[#This Row],[Day Rate]],5)</f>
        <v>385</v>
      </c>
      <c r="T8" s="60"/>
      <c r="U8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8" s="62">
        <f>FLOOR(Tbl_BONUS_01_MathFunctions_01[[#This Row],[Day Rate]],5)</f>
        <v>380</v>
      </c>
    </row>
    <row r="9" spans="1:22" x14ac:dyDescent="0.25">
      <c r="B9" s="9">
        <v>2</v>
      </c>
      <c r="C9" s="10" t="s">
        <v>35</v>
      </c>
      <c r="D9" s="120">
        <v>444.15539999999999</v>
      </c>
      <c r="E9" s="60"/>
      <c r="F9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9" s="62">
        <f>ROUND(Tbl_BONUS_01_MathFunctions_01[[#This Row],[Day Rate]],2)</f>
        <v>444.16</v>
      </c>
      <c r="H9" s="60"/>
      <c r="I9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9" s="62">
        <f>ROUNDUP(Tbl_BONUS_01_MathFunctions_01[[#This Row],[Day Rate]],2)</f>
        <v>444.15999999999997</v>
      </c>
      <c r="K9" s="60"/>
      <c r="L9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9" s="62">
        <f>ROUNDDOWN(Tbl_BONUS_01_MathFunctions_01[[#This Row],[Day Rate]],2)</f>
        <v>444.15</v>
      </c>
      <c r="N9" s="60"/>
      <c r="O9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9" s="62">
        <f>MROUND(Tbl_BONUS_01_MathFunctions_01[[#This Row],[Day Rate]],5)</f>
        <v>445</v>
      </c>
      <c r="Q9" s="60"/>
      <c r="R9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9" s="62">
        <f>CEILING(Tbl_BONUS_01_MathFunctions_01[[#This Row],[Day Rate]],5)</f>
        <v>445</v>
      </c>
      <c r="T9" s="60"/>
      <c r="U9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9" s="62">
        <f>FLOOR(Tbl_BONUS_01_MathFunctions_01[[#This Row],[Day Rate]],5)</f>
        <v>440</v>
      </c>
    </row>
    <row r="10" spans="1:22" x14ac:dyDescent="0.25">
      <c r="B10" s="9">
        <v>3</v>
      </c>
      <c r="C10" s="10" t="s">
        <v>137</v>
      </c>
      <c r="D10" s="120">
        <v>234.7628</v>
      </c>
      <c r="E10" s="60"/>
      <c r="F10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0" s="62">
        <f>ROUND(Tbl_BONUS_01_MathFunctions_01[[#This Row],[Day Rate]],2)</f>
        <v>234.76</v>
      </c>
      <c r="H10" s="60"/>
      <c r="I10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0" s="62">
        <f>ROUNDUP(Tbl_BONUS_01_MathFunctions_01[[#This Row],[Day Rate]],2)</f>
        <v>234.76999999999998</v>
      </c>
      <c r="K10" s="60"/>
      <c r="L10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0" s="62">
        <f>ROUNDDOWN(Tbl_BONUS_01_MathFunctions_01[[#This Row],[Day Rate]],2)</f>
        <v>234.76</v>
      </c>
      <c r="N10" s="60"/>
      <c r="O10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0" s="62">
        <f>MROUND(Tbl_BONUS_01_MathFunctions_01[[#This Row],[Day Rate]],5)</f>
        <v>235</v>
      </c>
      <c r="Q10" s="60"/>
      <c r="R10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0" s="62">
        <f>CEILING(Tbl_BONUS_01_MathFunctions_01[[#This Row],[Day Rate]],5)</f>
        <v>235</v>
      </c>
      <c r="T10" s="60"/>
      <c r="U10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0" s="62">
        <f>FLOOR(Tbl_BONUS_01_MathFunctions_01[[#This Row],[Day Rate]],5)</f>
        <v>230</v>
      </c>
    </row>
    <row r="11" spans="1:22" x14ac:dyDescent="0.25">
      <c r="B11" s="9">
        <v>4</v>
      </c>
      <c r="C11" s="10" t="s">
        <v>36</v>
      </c>
      <c r="D11" s="120">
        <v>291.28899999999999</v>
      </c>
      <c r="E11" s="60"/>
      <c r="F11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1" s="62">
        <f>ROUND(Tbl_BONUS_01_MathFunctions_01[[#This Row],[Day Rate]],2)</f>
        <v>291.29000000000002</v>
      </c>
      <c r="H11" s="60"/>
      <c r="I11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1" s="62">
        <f>ROUNDUP(Tbl_BONUS_01_MathFunctions_01[[#This Row],[Day Rate]],2)</f>
        <v>291.28999999999996</v>
      </c>
      <c r="K11" s="60"/>
      <c r="L11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1" s="62">
        <f>ROUNDDOWN(Tbl_BONUS_01_MathFunctions_01[[#This Row],[Day Rate]],2)</f>
        <v>291.27999999999997</v>
      </c>
      <c r="N11" s="60"/>
      <c r="O11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1" s="62">
        <f>MROUND(Tbl_BONUS_01_MathFunctions_01[[#This Row],[Day Rate]],5)</f>
        <v>290</v>
      </c>
      <c r="Q11" s="60"/>
      <c r="R11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1" s="62">
        <f>CEILING(Tbl_BONUS_01_MathFunctions_01[[#This Row],[Day Rate]],5)</f>
        <v>295</v>
      </c>
      <c r="T11" s="60"/>
      <c r="U11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1" s="62">
        <f>FLOOR(Tbl_BONUS_01_MathFunctions_01[[#This Row],[Day Rate]],5)</f>
        <v>290</v>
      </c>
    </row>
    <row r="12" spans="1:22" x14ac:dyDescent="0.25">
      <c r="B12" s="9">
        <v>5</v>
      </c>
      <c r="C12" s="10" t="s">
        <v>37</v>
      </c>
      <c r="D12" s="120">
        <v>317.73919999999998</v>
      </c>
      <c r="E12" s="60"/>
      <c r="F12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2" s="62">
        <f>ROUND(Tbl_BONUS_01_MathFunctions_01[[#This Row],[Day Rate]],2)</f>
        <v>317.74</v>
      </c>
      <c r="H12" s="60"/>
      <c r="I12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2" s="62">
        <f>ROUNDUP(Tbl_BONUS_01_MathFunctions_01[[#This Row],[Day Rate]],2)</f>
        <v>317.74</v>
      </c>
      <c r="K12" s="60"/>
      <c r="L12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2" s="62">
        <f>ROUNDDOWN(Tbl_BONUS_01_MathFunctions_01[[#This Row],[Day Rate]],2)</f>
        <v>317.73</v>
      </c>
      <c r="N12" s="60"/>
      <c r="O12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2" s="62">
        <f>MROUND(Tbl_BONUS_01_MathFunctions_01[[#This Row],[Day Rate]],5)</f>
        <v>320</v>
      </c>
      <c r="Q12" s="60"/>
      <c r="R12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2" s="62">
        <f>CEILING(Tbl_BONUS_01_MathFunctions_01[[#This Row],[Day Rate]],5)</f>
        <v>320</v>
      </c>
      <c r="T12" s="60"/>
      <c r="U12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2" s="62">
        <f>FLOOR(Tbl_BONUS_01_MathFunctions_01[[#This Row],[Day Rate]],5)</f>
        <v>315</v>
      </c>
    </row>
    <row r="13" spans="1:22" x14ac:dyDescent="0.25">
      <c r="B13" s="9">
        <v>6</v>
      </c>
      <c r="C13" s="10" t="s">
        <v>38</v>
      </c>
      <c r="D13" s="120">
        <v>715.2962</v>
      </c>
      <c r="E13" s="60"/>
      <c r="F13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3" s="62">
        <f>ROUND(Tbl_BONUS_01_MathFunctions_01[[#This Row],[Day Rate]],2)</f>
        <v>715.3</v>
      </c>
      <c r="H13" s="60"/>
      <c r="I13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3" s="62">
        <f>ROUNDUP(Tbl_BONUS_01_MathFunctions_01[[#This Row],[Day Rate]],2)</f>
        <v>715.3</v>
      </c>
      <c r="K13" s="60"/>
      <c r="L13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3" s="62">
        <f>ROUNDDOWN(Tbl_BONUS_01_MathFunctions_01[[#This Row],[Day Rate]],2)</f>
        <v>715.29</v>
      </c>
      <c r="N13" s="60"/>
      <c r="O13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3" s="62">
        <f>MROUND(Tbl_BONUS_01_MathFunctions_01[[#This Row],[Day Rate]],5)</f>
        <v>715</v>
      </c>
      <c r="Q13" s="60"/>
      <c r="R13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3" s="62">
        <f>CEILING(Tbl_BONUS_01_MathFunctions_01[[#This Row],[Day Rate]],5)</f>
        <v>720</v>
      </c>
      <c r="T13" s="60"/>
      <c r="U13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3" s="62">
        <f>FLOOR(Tbl_BONUS_01_MathFunctions_01[[#This Row],[Day Rate]],5)</f>
        <v>715</v>
      </c>
    </row>
    <row r="14" spans="1:22" x14ac:dyDescent="0.25">
      <c r="B14" s="9">
        <v>7</v>
      </c>
      <c r="C14" s="10" t="s">
        <v>39</v>
      </c>
      <c r="D14" s="120">
        <v>1087.1387999999999</v>
      </c>
      <c r="E14" s="60"/>
      <c r="F14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4" s="62">
        <f>ROUND(Tbl_BONUS_01_MathFunctions_01[[#This Row],[Day Rate]],2)</f>
        <v>1087.1400000000001</v>
      </c>
      <c r="H14" s="60"/>
      <c r="I14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4" s="62">
        <f>ROUNDUP(Tbl_BONUS_01_MathFunctions_01[[#This Row],[Day Rate]],2)</f>
        <v>1087.1400000000001</v>
      </c>
      <c r="K14" s="60"/>
      <c r="L14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4" s="62">
        <f>ROUNDDOWN(Tbl_BONUS_01_MathFunctions_01[[#This Row],[Day Rate]],2)</f>
        <v>1087.1300000000001</v>
      </c>
      <c r="N14" s="60"/>
      <c r="O14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4" s="62">
        <f>MROUND(Tbl_BONUS_01_MathFunctions_01[[#This Row],[Day Rate]],5)</f>
        <v>1085</v>
      </c>
      <c r="Q14" s="60"/>
      <c r="R14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4" s="62">
        <f>CEILING(Tbl_BONUS_01_MathFunctions_01[[#This Row],[Day Rate]],5)</f>
        <v>1090</v>
      </c>
      <c r="T14" s="60"/>
      <c r="U14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4" s="62">
        <f>FLOOR(Tbl_BONUS_01_MathFunctions_01[[#This Row],[Day Rate]],5)</f>
        <v>1085</v>
      </c>
    </row>
    <row r="15" spans="1:22" x14ac:dyDescent="0.25">
      <c r="B15" s="9">
        <v>8</v>
      </c>
      <c r="C15" s="10" t="s">
        <v>35</v>
      </c>
      <c r="D15" s="120">
        <v>951.59389999999996</v>
      </c>
      <c r="E15" s="60"/>
      <c r="F15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5" s="62">
        <f>ROUND(Tbl_BONUS_01_MathFunctions_01[[#This Row],[Day Rate]],2)</f>
        <v>951.59</v>
      </c>
      <c r="H15" s="60"/>
      <c r="I15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5" s="62">
        <f>ROUNDUP(Tbl_BONUS_01_MathFunctions_01[[#This Row],[Day Rate]],2)</f>
        <v>951.6</v>
      </c>
      <c r="K15" s="60"/>
      <c r="L15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5" s="62">
        <f>ROUNDDOWN(Tbl_BONUS_01_MathFunctions_01[[#This Row],[Day Rate]],2)</f>
        <v>951.59</v>
      </c>
      <c r="N15" s="60"/>
      <c r="O15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5" s="62">
        <f>MROUND(Tbl_BONUS_01_MathFunctions_01[[#This Row],[Day Rate]],5)</f>
        <v>950</v>
      </c>
      <c r="Q15" s="60"/>
      <c r="R15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5" s="62">
        <f>CEILING(Tbl_BONUS_01_MathFunctions_01[[#This Row],[Day Rate]],5)</f>
        <v>955</v>
      </c>
      <c r="T15" s="60"/>
      <c r="U15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5" s="62">
        <f>FLOOR(Tbl_BONUS_01_MathFunctions_01[[#This Row],[Day Rate]],5)</f>
        <v>950</v>
      </c>
    </row>
    <row r="16" spans="1:22" x14ac:dyDescent="0.25">
      <c r="B16" s="9">
        <v>9</v>
      </c>
      <c r="C16" s="10" t="s">
        <v>35</v>
      </c>
      <c r="D16" s="120">
        <v>461.51</v>
      </c>
      <c r="E16" s="60"/>
      <c r="F16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6" s="62">
        <f>ROUND(Tbl_BONUS_01_MathFunctions_01[[#This Row],[Day Rate]],2)</f>
        <v>461.51</v>
      </c>
      <c r="H16" s="60"/>
      <c r="I16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6" s="62">
        <f>ROUNDUP(Tbl_BONUS_01_MathFunctions_01[[#This Row],[Day Rate]],2)</f>
        <v>461.51</v>
      </c>
      <c r="K16" s="60"/>
      <c r="L16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6" s="62">
        <f>ROUNDDOWN(Tbl_BONUS_01_MathFunctions_01[[#This Row],[Day Rate]],2)</f>
        <v>461.51</v>
      </c>
      <c r="N16" s="60"/>
      <c r="O16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6" s="62">
        <f>MROUND(Tbl_BONUS_01_MathFunctions_01[[#This Row],[Day Rate]],5)</f>
        <v>460</v>
      </c>
      <c r="Q16" s="60"/>
      <c r="R16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6" s="62">
        <f>CEILING(Tbl_BONUS_01_MathFunctions_01[[#This Row],[Day Rate]],5)</f>
        <v>465</v>
      </c>
      <c r="T16" s="60"/>
      <c r="U16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6" s="62">
        <f>FLOOR(Tbl_BONUS_01_MathFunctions_01[[#This Row],[Day Rate]],5)</f>
        <v>460</v>
      </c>
    </row>
    <row r="17" spans="2:22" x14ac:dyDescent="0.25">
      <c r="B17" s="9">
        <v>10</v>
      </c>
      <c r="C17" s="10" t="s">
        <v>35</v>
      </c>
      <c r="D17" s="120">
        <v>852.73540000000003</v>
      </c>
      <c r="E17" s="61"/>
      <c r="F17" s="19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7" s="63">
        <f>ROUND(Tbl_BONUS_01_MathFunctions_01[[#This Row],[Day Rate]],2)</f>
        <v>852.74</v>
      </c>
      <c r="H17" s="61"/>
      <c r="I17" s="19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7" s="63">
        <f>ROUNDUP(Tbl_BONUS_01_MathFunctions_01[[#This Row],[Day Rate]],2)</f>
        <v>852.74</v>
      </c>
      <c r="K17" s="61"/>
      <c r="L17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7" s="63">
        <f>ROUNDDOWN(Tbl_BONUS_01_MathFunctions_01[[#This Row],[Day Rate]],2)</f>
        <v>852.73</v>
      </c>
      <c r="N17" s="61"/>
      <c r="O17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7" s="63">
        <f>MROUND(Tbl_BONUS_01_MathFunctions_01[[#This Row],[Day Rate]],5)</f>
        <v>855</v>
      </c>
      <c r="Q17" s="61"/>
      <c r="R17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7" s="63">
        <f>CEILING(Tbl_BONUS_01_MathFunctions_01[[#This Row],[Day Rate]],5)</f>
        <v>855</v>
      </c>
      <c r="T17" s="61"/>
      <c r="U17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7" s="63">
        <f>FLOOR(Tbl_BONUS_01_MathFunctions_01[[#This Row],[Day Rate]],5)</f>
        <v>850</v>
      </c>
    </row>
    <row r="18" spans="2:22" x14ac:dyDescent="0.25">
      <c r="B18" s="9">
        <v>11</v>
      </c>
      <c r="C18" s="10" t="s">
        <v>40</v>
      </c>
      <c r="D18" s="120">
        <v>539.74959999999999</v>
      </c>
      <c r="E18" s="61"/>
      <c r="F18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8" s="122">
        <f>ROUND(Tbl_BONUS_01_MathFunctions_01[[#This Row],[Day Rate]],2)</f>
        <v>539.75</v>
      </c>
      <c r="H18" s="61"/>
      <c r="I18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8" s="122">
        <f>ROUNDUP(Tbl_BONUS_01_MathFunctions_01[[#This Row],[Day Rate]],2)</f>
        <v>539.75</v>
      </c>
      <c r="K18" s="61"/>
      <c r="L18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8" s="122">
        <f>ROUNDDOWN(Tbl_BONUS_01_MathFunctions_01[[#This Row],[Day Rate]],2)</f>
        <v>539.74</v>
      </c>
      <c r="N18" s="61"/>
      <c r="O18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8" s="122">
        <f>MROUND(Tbl_BONUS_01_MathFunctions_01[[#This Row],[Day Rate]],5)</f>
        <v>540</v>
      </c>
      <c r="Q18" s="61"/>
      <c r="R18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8" s="122">
        <f>CEILING(Tbl_BONUS_01_MathFunctions_01[[#This Row],[Day Rate]],5)</f>
        <v>540</v>
      </c>
      <c r="T18" s="61"/>
      <c r="U18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8" s="122">
        <f>FLOOR(Tbl_BONUS_01_MathFunctions_01[[#This Row],[Day Rate]],5)</f>
        <v>535</v>
      </c>
    </row>
    <row r="19" spans="2:22" x14ac:dyDescent="0.25">
      <c r="B19" s="9">
        <v>12</v>
      </c>
      <c r="C19" s="10" t="s">
        <v>41</v>
      </c>
      <c r="D19" s="120">
        <v>1116.4502</v>
      </c>
      <c r="E19" s="61"/>
      <c r="F19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19" s="122">
        <f>ROUND(Tbl_BONUS_01_MathFunctions_01[[#This Row],[Day Rate]],2)</f>
        <v>1116.45</v>
      </c>
      <c r="H19" s="61"/>
      <c r="I19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19" s="122">
        <f>ROUNDUP(Tbl_BONUS_01_MathFunctions_01[[#This Row],[Day Rate]],2)</f>
        <v>1116.46</v>
      </c>
      <c r="K19" s="61"/>
      <c r="L19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19" s="122">
        <f>ROUNDDOWN(Tbl_BONUS_01_MathFunctions_01[[#This Row],[Day Rate]],2)</f>
        <v>1116.45</v>
      </c>
      <c r="N19" s="61"/>
      <c r="O19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19" s="122">
        <f>MROUND(Tbl_BONUS_01_MathFunctions_01[[#This Row],[Day Rate]],5)</f>
        <v>1115</v>
      </c>
      <c r="Q19" s="61"/>
      <c r="R19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19" s="122">
        <f>CEILING(Tbl_BONUS_01_MathFunctions_01[[#This Row],[Day Rate]],5)</f>
        <v>1120</v>
      </c>
      <c r="T19" s="61"/>
      <c r="U19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19" s="122">
        <f>FLOOR(Tbl_BONUS_01_MathFunctions_01[[#This Row],[Day Rate]],5)</f>
        <v>1115</v>
      </c>
    </row>
    <row r="20" spans="2:22" x14ac:dyDescent="0.25">
      <c r="B20" s="9">
        <v>13</v>
      </c>
      <c r="C20" s="10" t="s">
        <v>42</v>
      </c>
      <c r="D20" s="120">
        <v>568.52239999999995</v>
      </c>
      <c r="E20" s="61"/>
      <c r="F20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0" s="122">
        <f>ROUND(Tbl_BONUS_01_MathFunctions_01[[#This Row],[Day Rate]],2)</f>
        <v>568.52</v>
      </c>
      <c r="H20" s="61"/>
      <c r="I20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0" s="122">
        <f>ROUNDUP(Tbl_BONUS_01_MathFunctions_01[[#This Row],[Day Rate]],2)</f>
        <v>568.53</v>
      </c>
      <c r="K20" s="61"/>
      <c r="L20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0" s="122">
        <f>ROUNDDOWN(Tbl_BONUS_01_MathFunctions_01[[#This Row],[Day Rate]],2)</f>
        <v>568.52</v>
      </c>
      <c r="N20" s="61"/>
      <c r="O20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0" s="122">
        <f>MROUND(Tbl_BONUS_01_MathFunctions_01[[#This Row],[Day Rate]],5)</f>
        <v>570</v>
      </c>
      <c r="Q20" s="61"/>
      <c r="R20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0" s="122">
        <f>CEILING(Tbl_BONUS_01_MathFunctions_01[[#This Row],[Day Rate]],5)</f>
        <v>570</v>
      </c>
      <c r="T20" s="61"/>
      <c r="U20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0" s="122">
        <f>FLOOR(Tbl_BONUS_01_MathFunctions_01[[#This Row],[Day Rate]],5)</f>
        <v>565</v>
      </c>
    </row>
    <row r="21" spans="2:22" x14ac:dyDescent="0.25">
      <c r="B21" s="9">
        <v>14</v>
      </c>
      <c r="C21" s="10" t="s">
        <v>43</v>
      </c>
      <c r="D21" s="120">
        <v>816.24239999999998</v>
      </c>
      <c r="E21" s="61"/>
      <c r="F21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1" s="122">
        <f>ROUND(Tbl_BONUS_01_MathFunctions_01[[#This Row],[Day Rate]],2)</f>
        <v>816.24</v>
      </c>
      <c r="H21" s="61"/>
      <c r="I21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1" s="122">
        <f>ROUNDUP(Tbl_BONUS_01_MathFunctions_01[[#This Row],[Day Rate]],2)</f>
        <v>816.25</v>
      </c>
      <c r="K21" s="61"/>
      <c r="L21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1" s="122">
        <f>ROUNDDOWN(Tbl_BONUS_01_MathFunctions_01[[#This Row],[Day Rate]],2)</f>
        <v>816.24</v>
      </c>
      <c r="N21" s="61"/>
      <c r="O21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1" s="122">
        <f>MROUND(Tbl_BONUS_01_MathFunctions_01[[#This Row],[Day Rate]],5)</f>
        <v>815</v>
      </c>
      <c r="Q21" s="61"/>
      <c r="R21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1" s="122">
        <f>CEILING(Tbl_BONUS_01_MathFunctions_01[[#This Row],[Day Rate]],5)</f>
        <v>820</v>
      </c>
      <c r="T21" s="61"/>
      <c r="U21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1" s="122">
        <f>FLOOR(Tbl_BONUS_01_MathFunctions_01[[#This Row],[Day Rate]],5)</f>
        <v>815</v>
      </c>
    </row>
    <row r="22" spans="2:22" x14ac:dyDescent="0.25">
      <c r="B22" s="9">
        <v>15</v>
      </c>
      <c r="C22" s="10" t="s">
        <v>137</v>
      </c>
      <c r="D22" s="120">
        <v>319.56119999999999</v>
      </c>
      <c r="E22" s="61"/>
      <c r="F22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2" s="122">
        <f>ROUND(Tbl_BONUS_01_MathFunctions_01[[#This Row],[Day Rate]],2)</f>
        <v>319.56</v>
      </c>
      <c r="H22" s="61"/>
      <c r="I22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2" s="122">
        <f>ROUNDUP(Tbl_BONUS_01_MathFunctions_01[[#This Row],[Day Rate]],2)</f>
        <v>319.57</v>
      </c>
      <c r="K22" s="61"/>
      <c r="L22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2" s="122">
        <f>ROUNDDOWN(Tbl_BONUS_01_MathFunctions_01[[#This Row],[Day Rate]],2)</f>
        <v>319.56</v>
      </c>
      <c r="N22" s="61"/>
      <c r="O22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2" s="122">
        <f>MROUND(Tbl_BONUS_01_MathFunctions_01[[#This Row],[Day Rate]],5)</f>
        <v>320</v>
      </c>
      <c r="Q22" s="61"/>
      <c r="R22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2" s="122">
        <f>CEILING(Tbl_BONUS_01_MathFunctions_01[[#This Row],[Day Rate]],5)</f>
        <v>320</v>
      </c>
      <c r="T22" s="61"/>
      <c r="U22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2" s="122">
        <f>FLOOR(Tbl_BONUS_01_MathFunctions_01[[#This Row],[Day Rate]],5)</f>
        <v>315</v>
      </c>
    </row>
    <row r="23" spans="2:22" x14ac:dyDescent="0.25">
      <c r="B23" s="9">
        <v>16</v>
      </c>
      <c r="C23" s="10" t="s">
        <v>44</v>
      </c>
      <c r="D23" s="120">
        <v>297.05759999999998</v>
      </c>
      <c r="E23" s="61"/>
      <c r="F23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3" s="122">
        <f>ROUND(Tbl_BONUS_01_MathFunctions_01[[#This Row],[Day Rate]],2)</f>
        <v>297.06</v>
      </c>
      <c r="H23" s="61"/>
      <c r="I23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3" s="122">
        <f>ROUNDUP(Tbl_BONUS_01_MathFunctions_01[[#This Row],[Day Rate]],2)</f>
        <v>297.06</v>
      </c>
      <c r="K23" s="61"/>
      <c r="L23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3" s="122">
        <f>ROUNDDOWN(Tbl_BONUS_01_MathFunctions_01[[#This Row],[Day Rate]],2)</f>
        <v>297.05</v>
      </c>
      <c r="N23" s="61"/>
      <c r="O23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3" s="122">
        <f>MROUND(Tbl_BONUS_01_MathFunctions_01[[#This Row],[Day Rate]],5)</f>
        <v>295</v>
      </c>
      <c r="Q23" s="61"/>
      <c r="R23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3" s="122">
        <f>CEILING(Tbl_BONUS_01_MathFunctions_01[[#This Row],[Day Rate]],5)</f>
        <v>300</v>
      </c>
      <c r="T23" s="61"/>
      <c r="U23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3" s="122">
        <f>FLOOR(Tbl_BONUS_01_MathFunctions_01[[#This Row],[Day Rate]],5)</f>
        <v>295</v>
      </c>
    </row>
    <row r="24" spans="2:22" x14ac:dyDescent="0.25">
      <c r="B24" s="9">
        <v>17</v>
      </c>
      <c r="C24" s="10" t="s">
        <v>35</v>
      </c>
      <c r="D24" s="120">
        <v>356.2312</v>
      </c>
      <c r="E24" s="61"/>
      <c r="F24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4" s="122">
        <f>ROUND(Tbl_BONUS_01_MathFunctions_01[[#This Row],[Day Rate]],2)</f>
        <v>356.23</v>
      </c>
      <c r="H24" s="61"/>
      <c r="I24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4" s="122">
        <f>ROUNDUP(Tbl_BONUS_01_MathFunctions_01[[#This Row],[Day Rate]],2)</f>
        <v>356.24</v>
      </c>
      <c r="K24" s="61"/>
      <c r="L24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4" s="122">
        <f>ROUNDDOWN(Tbl_BONUS_01_MathFunctions_01[[#This Row],[Day Rate]],2)</f>
        <v>356.23</v>
      </c>
      <c r="N24" s="61"/>
      <c r="O24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4" s="122">
        <f>MROUND(Tbl_BONUS_01_MathFunctions_01[[#This Row],[Day Rate]],5)</f>
        <v>355</v>
      </c>
      <c r="Q24" s="61"/>
      <c r="R24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4" s="122">
        <f>CEILING(Tbl_BONUS_01_MathFunctions_01[[#This Row],[Day Rate]],5)</f>
        <v>360</v>
      </c>
      <c r="T24" s="61"/>
      <c r="U24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4" s="122">
        <f>FLOOR(Tbl_BONUS_01_MathFunctions_01[[#This Row],[Day Rate]],5)</f>
        <v>355</v>
      </c>
    </row>
    <row r="25" spans="2:22" x14ac:dyDescent="0.25">
      <c r="B25" s="9">
        <v>18</v>
      </c>
      <c r="C25" s="10" t="s">
        <v>45</v>
      </c>
      <c r="D25" s="120">
        <v>567.01549999999997</v>
      </c>
      <c r="E25" s="61"/>
      <c r="F25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5" s="122">
        <f>ROUND(Tbl_BONUS_01_MathFunctions_01[[#This Row],[Day Rate]],2)</f>
        <v>567.02</v>
      </c>
      <c r="H25" s="61"/>
      <c r="I25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5" s="122">
        <f>ROUNDUP(Tbl_BONUS_01_MathFunctions_01[[#This Row],[Day Rate]],2)</f>
        <v>567.02</v>
      </c>
      <c r="K25" s="61"/>
      <c r="L25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5" s="122">
        <f>ROUNDDOWN(Tbl_BONUS_01_MathFunctions_01[[#This Row],[Day Rate]],2)</f>
        <v>567.01</v>
      </c>
      <c r="N25" s="61"/>
      <c r="O25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5" s="122">
        <f>MROUND(Tbl_BONUS_01_MathFunctions_01[[#This Row],[Day Rate]],5)</f>
        <v>565</v>
      </c>
      <c r="Q25" s="61"/>
      <c r="R25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5" s="122">
        <f>CEILING(Tbl_BONUS_01_MathFunctions_01[[#This Row],[Day Rate]],5)</f>
        <v>570</v>
      </c>
      <c r="T25" s="61"/>
      <c r="U25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5" s="122">
        <f>FLOOR(Tbl_BONUS_01_MathFunctions_01[[#This Row],[Day Rate]],5)</f>
        <v>565</v>
      </c>
    </row>
    <row r="26" spans="2:22" x14ac:dyDescent="0.25">
      <c r="B26" s="9">
        <v>19</v>
      </c>
      <c r="C26" s="10" t="s">
        <v>44</v>
      </c>
      <c r="D26" s="120">
        <v>357.39</v>
      </c>
      <c r="E26" s="61"/>
      <c r="F26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6" s="122">
        <f>ROUND(Tbl_BONUS_01_MathFunctions_01[[#This Row],[Day Rate]],2)</f>
        <v>357.39</v>
      </c>
      <c r="H26" s="61"/>
      <c r="I26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6" s="122">
        <f>ROUNDUP(Tbl_BONUS_01_MathFunctions_01[[#This Row],[Day Rate]],2)</f>
        <v>357.39</v>
      </c>
      <c r="K26" s="61"/>
      <c r="L26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6" s="122">
        <f>ROUNDDOWN(Tbl_BONUS_01_MathFunctions_01[[#This Row],[Day Rate]],2)</f>
        <v>357.39</v>
      </c>
      <c r="N26" s="61"/>
      <c r="O26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6" s="122">
        <f>MROUND(Tbl_BONUS_01_MathFunctions_01[[#This Row],[Day Rate]],5)</f>
        <v>355</v>
      </c>
      <c r="Q26" s="61"/>
      <c r="R26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6" s="122">
        <f>CEILING(Tbl_BONUS_01_MathFunctions_01[[#This Row],[Day Rate]],5)</f>
        <v>360</v>
      </c>
      <c r="T26" s="61"/>
      <c r="U26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6" s="122">
        <f>FLOOR(Tbl_BONUS_01_MathFunctions_01[[#This Row],[Day Rate]],5)</f>
        <v>355</v>
      </c>
    </row>
    <row r="27" spans="2:22" x14ac:dyDescent="0.25">
      <c r="B27" s="9">
        <v>20</v>
      </c>
      <c r="C27" s="10" t="s">
        <v>44</v>
      </c>
      <c r="D27" s="120">
        <v>1115.8624</v>
      </c>
      <c r="E27" s="61"/>
      <c r="F27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7" s="122">
        <f>ROUND(Tbl_BONUS_01_MathFunctions_01[[#This Row],[Day Rate]],2)</f>
        <v>1115.8599999999999</v>
      </c>
      <c r="H27" s="61"/>
      <c r="I27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7" s="122">
        <f>ROUNDUP(Tbl_BONUS_01_MathFunctions_01[[#This Row],[Day Rate]],2)</f>
        <v>1115.8699999999999</v>
      </c>
      <c r="K27" s="61"/>
      <c r="L27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7" s="122">
        <f>ROUNDDOWN(Tbl_BONUS_01_MathFunctions_01[[#This Row],[Day Rate]],2)</f>
        <v>1115.8599999999999</v>
      </c>
      <c r="N27" s="61"/>
      <c r="O27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7" s="122">
        <f>MROUND(Tbl_BONUS_01_MathFunctions_01[[#This Row],[Day Rate]],5)</f>
        <v>1115</v>
      </c>
      <c r="Q27" s="61"/>
      <c r="R27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7" s="122">
        <f>CEILING(Tbl_BONUS_01_MathFunctions_01[[#This Row],[Day Rate]],5)</f>
        <v>1120</v>
      </c>
      <c r="T27" s="61"/>
      <c r="U27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7" s="122">
        <f>FLOOR(Tbl_BONUS_01_MathFunctions_01[[#This Row],[Day Rate]],5)</f>
        <v>1115</v>
      </c>
    </row>
    <row r="28" spans="2:22" x14ac:dyDescent="0.25">
      <c r="B28" s="9">
        <v>21</v>
      </c>
      <c r="C28" s="10" t="s">
        <v>35</v>
      </c>
      <c r="D28" s="120">
        <v>219.45</v>
      </c>
      <c r="E28" s="61"/>
      <c r="F28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8" s="122">
        <f>ROUND(Tbl_BONUS_01_MathFunctions_01[[#This Row],[Day Rate]],2)</f>
        <v>219.45</v>
      </c>
      <c r="H28" s="61"/>
      <c r="I28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8" s="122">
        <f>ROUNDUP(Tbl_BONUS_01_MathFunctions_01[[#This Row],[Day Rate]],2)</f>
        <v>219.45</v>
      </c>
      <c r="K28" s="61"/>
      <c r="L28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8" s="122">
        <f>ROUNDDOWN(Tbl_BONUS_01_MathFunctions_01[[#This Row],[Day Rate]],2)</f>
        <v>219.45</v>
      </c>
      <c r="N28" s="61"/>
      <c r="O28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8" s="122">
        <f>MROUND(Tbl_BONUS_01_MathFunctions_01[[#This Row],[Day Rate]],5)</f>
        <v>220</v>
      </c>
      <c r="Q28" s="61"/>
      <c r="R28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8" s="122">
        <f>CEILING(Tbl_BONUS_01_MathFunctions_01[[#This Row],[Day Rate]],5)</f>
        <v>220</v>
      </c>
      <c r="T28" s="61"/>
      <c r="U28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8" s="122">
        <f>FLOOR(Tbl_BONUS_01_MathFunctions_01[[#This Row],[Day Rate]],5)</f>
        <v>215</v>
      </c>
    </row>
    <row r="29" spans="2:22" x14ac:dyDescent="0.25">
      <c r="B29" s="9">
        <v>22</v>
      </c>
      <c r="C29" s="10" t="s">
        <v>35</v>
      </c>
      <c r="D29" s="120">
        <v>1062.4009000000001</v>
      </c>
      <c r="E29" s="61"/>
      <c r="F29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29" s="122">
        <f>ROUND(Tbl_BONUS_01_MathFunctions_01[[#This Row],[Day Rate]],2)</f>
        <v>1062.4000000000001</v>
      </c>
      <c r="H29" s="61"/>
      <c r="I29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29" s="122">
        <f>ROUNDUP(Tbl_BONUS_01_MathFunctions_01[[#This Row],[Day Rate]],2)</f>
        <v>1062.4100000000001</v>
      </c>
      <c r="K29" s="61"/>
      <c r="L29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29" s="122">
        <f>ROUNDDOWN(Tbl_BONUS_01_MathFunctions_01[[#This Row],[Day Rate]],2)</f>
        <v>1062.4000000000001</v>
      </c>
      <c r="N29" s="61"/>
      <c r="O29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29" s="122">
        <f>MROUND(Tbl_BONUS_01_MathFunctions_01[[#This Row],[Day Rate]],5)</f>
        <v>1060</v>
      </c>
      <c r="Q29" s="61"/>
      <c r="R29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29" s="122">
        <f>CEILING(Tbl_BONUS_01_MathFunctions_01[[#This Row],[Day Rate]],5)</f>
        <v>1065</v>
      </c>
      <c r="T29" s="61"/>
      <c r="U29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29" s="122">
        <f>FLOOR(Tbl_BONUS_01_MathFunctions_01[[#This Row],[Day Rate]],5)</f>
        <v>1060</v>
      </c>
    </row>
    <row r="30" spans="2:22" x14ac:dyDescent="0.25">
      <c r="B30" s="9">
        <v>23</v>
      </c>
      <c r="C30" s="10" t="s">
        <v>137</v>
      </c>
      <c r="D30" s="120">
        <v>812.65639999999996</v>
      </c>
      <c r="E30" s="61"/>
      <c r="F30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30" s="122">
        <f>ROUND(Tbl_BONUS_01_MathFunctions_01[[#This Row],[Day Rate]],2)</f>
        <v>812.66</v>
      </c>
      <c r="H30" s="61"/>
      <c r="I30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30" s="122">
        <f>ROUNDUP(Tbl_BONUS_01_MathFunctions_01[[#This Row],[Day Rate]],2)</f>
        <v>812.66</v>
      </c>
      <c r="K30" s="61"/>
      <c r="L30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30" s="122">
        <f>ROUNDDOWN(Tbl_BONUS_01_MathFunctions_01[[#This Row],[Day Rate]],2)</f>
        <v>812.65</v>
      </c>
      <c r="N30" s="61"/>
      <c r="O30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30" s="122">
        <f>MROUND(Tbl_BONUS_01_MathFunctions_01[[#This Row],[Day Rate]],5)</f>
        <v>815</v>
      </c>
      <c r="Q30" s="61"/>
      <c r="R30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30" s="122">
        <f>CEILING(Tbl_BONUS_01_MathFunctions_01[[#This Row],[Day Rate]],5)</f>
        <v>815</v>
      </c>
      <c r="T30" s="61"/>
      <c r="U30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30" s="122">
        <f>FLOOR(Tbl_BONUS_01_MathFunctions_01[[#This Row],[Day Rate]],5)</f>
        <v>810</v>
      </c>
    </row>
    <row r="31" spans="2:22" x14ac:dyDescent="0.25">
      <c r="B31" s="9">
        <v>24</v>
      </c>
      <c r="C31" s="10" t="s">
        <v>45</v>
      </c>
      <c r="D31" s="120">
        <v>334.42520000000002</v>
      </c>
      <c r="E31" s="61"/>
      <c r="F31" s="46" t="str">
        <f>IFERROR(IF(Tbl_BONUS_01_MathFunctions_01[[#This Row],[Day Rate Rounded to Nearest Cent]]="","",IF(AND(_xlfn.ISFORMULA(Tbl_BONUS_01_MathFunctions_01[[#This Row],[Day Rate Rounded to Nearest Cent]]),EXACT(Tbl_BONUS_01_MathFunctions_01[[#This Row],[Day Rate Rounded to Nearest Cent]],Tbl_BONUS_01_MathFunctions_01[[#This Row],[Day Rate Rounded to Nearest Cent ANS]])),Rng_Lkp_AnswerStatus_Good,Rng_Lkp_AnswerStatus_Bad)),Rng_Lkp_AnswerStatus_Bad)</f>
        <v/>
      </c>
      <c r="G31" s="122">
        <f>ROUND(Tbl_BONUS_01_MathFunctions_01[[#This Row],[Day Rate]],2)</f>
        <v>334.43</v>
      </c>
      <c r="H31" s="61"/>
      <c r="I31" s="46" t="str">
        <f>IFERROR(IF(Tbl_BONUS_01_MathFunctions_01[[#This Row],[Day Rate Rounded UP to Nearest Cent]]="","",IF(AND(_xlfn.ISFORMULA(Tbl_BONUS_01_MathFunctions_01[[#This Row],[Day Rate Rounded UP to Nearest Cent]]),EXACT(Tbl_BONUS_01_MathFunctions_01[[#This Row],[Day Rate Rounded UP to Nearest Cent]],Tbl_BONUS_01_MathFunctions_01[[#This Row],[Day Rate Rounded UP to Nearest Cent ANS]])),Rng_Lkp_AnswerStatus_Good,Rng_Lkp_AnswerStatus_Bad)),Rng_Lkp_AnswerStatus_Bad)</f>
        <v/>
      </c>
      <c r="J31" s="122">
        <f>ROUNDUP(Tbl_BONUS_01_MathFunctions_01[[#This Row],[Day Rate]],2)</f>
        <v>334.43</v>
      </c>
      <c r="K31" s="61"/>
      <c r="L31" s="19" t="str">
        <f>IFERROR(IF(Tbl_BONUS_01_MathFunctions_01[[#This Row],[Day Rate Rounded DOWN to Nearest Cent]]="","",IF(AND(_xlfn.ISFORMULA(Tbl_BONUS_01_MathFunctions_01[[#This Row],[Day Rate Rounded DOWN to Nearest Cent]]),EXACT(Tbl_BONUS_01_MathFunctions_01[[#This Row],[Day Rate Rounded DOWN to Nearest Cent]],Tbl_BONUS_01_MathFunctions_01[[#This Row],[Day Rate Rounded DOWN to Nearest Cent ANS]])),Rng_Lkp_AnswerStatus_Good,Rng_Lkp_AnswerStatus_Bad)),Rng_Lkp_AnswerStatus_Bad)</f>
        <v/>
      </c>
      <c r="M31" s="122">
        <f>ROUNDDOWN(Tbl_BONUS_01_MathFunctions_01[[#This Row],[Day Rate]],2)</f>
        <v>334.42</v>
      </c>
      <c r="N31" s="61"/>
      <c r="O31" s="19" t="str">
        <f>IFERROR(IF(Tbl_BONUS_01_MathFunctions_01[[#This Row],[Day Rate Rounded to Nearest $5]]="","",IF(AND(_xlfn.ISFORMULA(Tbl_BONUS_01_MathFunctions_01[[#This Row],[Day Rate Rounded to Nearest $5]]),EXACT(Tbl_BONUS_01_MathFunctions_01[[#This Row],[Day Rate Rounded to Nearest $5]],Tbl_BONUS_01_MathFunctions_01[[#This Row],[Day Rate Rounded to Nearest $5 ANS]])),Rng_Lkp_AnswerStatus_Good,Rng_Lkp_AnswerStatus_Bad)),Rng_Lkp_AnswerStatus_Bad)</f>
        <v/>
      </c>
      <c r="P31" s="122">
        <f>MROUND(Tbl_BONUS_01_MathFunctions_01[[#This Row],[Day Rate]],5)</f>
        <v>335</v>
      </c>
      <c r="Q31" s="61"/>
      <c r="R31" s="19" t="str">
        <f>IFERROR(IF(Tbl_BONUS_01_MathFunctions_01[[#This Row],[Day Rate Rounded UP to Nearest $5]]="","",IF(AND(_xlfn.ISFORMULA(Tbl_BONUS_01_MathFunctions_01[[#This Row],[Day Rate Rounded UP to Nearest $5]]),EXACT(Tbl_BONUS_01_MathFunctions_01[[#This Row],[Day Rate Rounded UP to Nearest $5]],Tbl_BONUS_01_MathFunctions_01[[#This Row],[Day Rate Rounded UP to Nearest $5 ANS]])),Rng_Lkp_AnswerStatus_Good,Rng_Lkp_AnswerStatus_Bad)),Rng_Lkp_AnswerStatus_Bad)</f>
        <v/>
      </c>
      <c r="S31" s="122">
        <f>CEILING(Tbl_BONUS_01_MathFunctions_01[[#This Row],[Day Rate]],5)</f>
        <v>335</v>
      </c>
      <c r="T31" s="61"/>
      <c r="U31" s="19" t="str">
        <f>IFERROR(IF(Tbl_BONUS_01_MathFunctions_01[[#This Row],[Day Rate Rounded DOWN to Nearest $5]]="","",IF(AND(_xlfn.ISFORMULA(Tbl_BONUS_01_MathFunctions_01[[#This Row],[Day Rate Rounded DOWN to Nearest $5]]),EXACT(Tbl_BONUS_01_MathFunctions_01[[#This Row],[Day Rate Rounded DOWN to Nearest $5]],Tbl_BONUS_01_MathFunctions_01[[#This Row],[Day Rate Rounded DOWN to Nearest $5 ANS]])),Rng_Lkp_AnswerStatus_Good,Rng_Lkp_AnswerStatus_Bad)),Rng_Lkp_AnswerStatus_Bad)</f>
        <v/>
      </c>
      <c r="V31" s="122">
        <f>FLOOR(Tbl_BONUS_01_MathFunctions_01[[#This Row],[Day Rate]],5)</f>
        <v>330</v>
      </c>
    </row>
  </sheetData>
  <conditionalFormatting sqref="B5:B6 F6 I6 L6 O6 R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V31">
    <cfRule type="cellIs" dxfId="237" priority="4" operator="equal">
      <formula>Rng_Lkp_AnswerStatus_Bad</formula>
    </cfRule>
    <cfRule type="cellIs" dxfId="236" priority="5" operator="equal">
      <formula>Rng_Lkp_AnswerStatus_Good</formula>
    </cfRule>
  </conditionalFormatting>
  <conditionalFormatting sqref="U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5398-3A76-4131-B71A-9BA45E7F7523}">
  <sheetPr>
    <tabColor theme="4"/>
  </sheetPr>
  <dimension ref="A1:AA3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8.28515625" style="8" bestFit="1" customWidth="1"/>
    <col min="4" max="5" width="8.140625" style="8" bestFit="1" customWidth="1"/>
    <col min="6" max="6" width="9.42578125" style="8" hidden="1" customWidth="1" outlineLevel="1"/>
    <col min="7" max="7" width="8.140625" style="8" bestFit="1" customWidth="1" collapsed="1"/>
    <col min="8" max="8" width="8.140625" style="8" bestFit="1" customWidth="1"/>
    <col min="9" max="9" width="9.42578125" style="8" hidden="1" customWidth="1" outlineLevel="1"/>
    <col min="10" max="10" width="8.140625" style="8" bestFit="1" customWidth="1" collapsed="1"/>
    <col min="11" max="11" width="8.140625" style="8" bestFit="1" customWidth="1"/>
    <col min="12" max="12" width="9.42578125" style="8" hidden="1" customWidth="1" outlineLevel="1"/>
    <col min="13" max="13" width="5.7109375" style="8" customWidth="1" collapsed="1"/>
    <col min="14" max="14" width="21.5703125" style="8" bestFit="1" customWidth="1"/>
    <col min="15" max="15" width="20.7109375" style="8" customWidth="1"/>
    <col min="16" max="16" width="8.140625" style="8" bestFit="1" customWidth="1"/>
    <col min="17" max="17" width="20.7109375" style="8" hidden="1" customWidth="1" outlineLevel="1"/>
    <col min="18" max="18" width="5.7109375" style="8" customWidth="1" collapsed="1"/>
    <col min="19" max="19" width="39.42578125" style="8" bestFit="1" customWidth="1"/>
    <col min="20" max="20" width="11.28515625" style="8" bestFit="1" customWidth="1"/>
    <col min="21" max="21" width="5.7109375" style="8" customWidth="1"/>
    <col min="22" max="22" width="3" style="8" bestFit="1" customWidth="1"/>
    <col min="23" max="23" width="19.140625" style="8" bestFit="1" customWidth="1"/>
    <col min="24" max="24" width="8.85546875" style="8" bestFit="1" customWidth="1"/>
    <col min="25" max="25" width="8.7109375" style="8" bestFit="1" customWidth="1"/>
    <col min="26" max="26" width="9.7109375" style="8" bestFit="1" customWidth="1"/>
    <col min="27" max="27" width="11.42578125" style="8" bestFit="1" customWidth="1"/>
    <col min="28" max="16384" width="9.140625" style="8"/>
  </cols>
  <sheetData>
    <row r="1" spans="1:27" s="6" customFormat="1" ht="21" x14ac:dyDescent="0.35">
      <c r="A1" s="35"/>
      <c r="B1" s="35"/>
      <c r="C1" s="35"/>
      <c r="D1" s="40" t="s">
        <v>165</v>
      </c>
      <c r="E1" s="35"/>
      <c r="F1" s="35"/>
      <c r="G1" s="35"/>
      <c r="H1" s="35"/>
      <c r="I1" s="35"/>
      <c r="J1" s="35"/>
      <c r="K1" s="35"/>
      <c r="L1" s="35"/>
      <c r="M1" s="35"/>
      <c r="O1" s="40"/>
    </row>
    <row r="2" spans="1:27" s="6" customFormat="1" ht="18.75" x14ac:dyDescent="0.3">
      <c r="A2" s="36"/>
      <c r="B2" s="36"/>
      <c r="C2" s="36"/>
      <c r="D2" s="41" t="s">
        <v>24</v>
      </c>
      <c r="E2" s="36"/>
      <c r="F2" s="36"/>
      <c r="G2" s="36"/>
      <c r="H2" s="36"/>
      <c r="I2" s="36"/>
      <c r="J2" s="36"/>
      <c r="K2" s="36"/>
      <c r="L2" s="36"/>
      <c r="M2" s="36"/>
      <c r="O2" s="41"/>
    </row>
    <row r="3" spans="1:27" ht="6.95" customHeight="1" x14ac:dyDescent="0.25"/>
    <row r="4" spans="1:27" ht="17.25" x14ac:dyDescent="0.3">
      <c r="B4" s="64" t="s">
        <v>172</v>
      </c>
      <c r="N4" s="64" t="s">
        <v>63</v>
      </c>
      <c r="S4" s="64" t="s">
        <v>88</v>
      </c>
      <c r="V4" s="64" t="s">
        <v>70</v>
      </c>
    </row>
    <row r="5" spans="1:27" ht="6.95" customHeight="1" x14ac:dyDescent="0.25"/>
    <row r="6" spans="1:27" x14ac:dyDescent="0.25">
      <c r="C6" s="11" t="s">
        <v>22</v>
      </c>
      <c r="D6" s="21">
        <v>1</v>
      </c>
      <c r="E6" s="12"/>
      <c r="F6" s="12"/>
      <c r="G6" s="21">
        <v>2</v>
      </c>
      <c r="H6" s="12"/>
      <c r="I6" s="12"/>
      <c r="J6" s="21">
        <v>3</v>
      </c>
      <c r="K6" s="12"/>
      <c r="L6" s="12"/>
      <c r="O6" s="21">
        <v>4</v>
      </c>
      <c r="P6" s="12"/>
      <c r="Q6" s="12"/>
    </row>
    <row r="7" spans="1:27" hidden="1" outlineLevel="1" x14ac:dyDescent="0.25">
      <c r="B7" s="25" t="str">
        <f>IFERROR(IF(SUMIFS(D7:Q7,D6:Q6,"&gt;=0")=0,"",SUMIFS(D7:Q7,D6:Q6,"&gt;=0")/SUMIFS(D7:Q7,D8:Q8,"ANSWER")),"")</f>
        <v/>
      </c>
      <c r="C7" s="22" t="s">
        <v>8</v>
      </c>
      <c r="D7" s="23">
        <f>IFERROR(COUNTA(Tbl_BONUS_02_MathReport_SumPaymentsOverTime_01[2020]),"")</f>
        <v>0</v>
      </c>
      <c r="E7" s="24">
        <f>IFERROR(COUNTIF(Tbl_BONUS_02_MathReport_SumPaymentsOverTime_01[Answer Status Q01],Rng_Lkp_AnswerStatus_Good),"")</f>
        <v>0</v>
      </c>
      <c r="F7" s="24">
        <f>IFERROR(COUNTA(Tbl_BONUS_02_MathReport_SumPaymentsOverTime_01[2020 ANS]),"")</f>
        <v>8</v>
      </c>
      <c r="G7" s="23">
        <f>IFERROR(COUNTA(Tbl_BONUS_02_MathReport_SumPaymentsOverTime_01[2021]),"")</f>
        <v>0</v>
      </c>
      <c r="H7" s="24">
        <f>IFERROR(COUNTIF(Tbl_BONUS_02_MathReport_SumPaymentsOverTime_01[Answer Status Q02],Rng_Lkp_AnswerStatus_Good),"")</f>
        <v>0</v>
      </c>
      <c r="I7" s="24">
        <f>IFERROR(COUNTA(Tbl_BONUS_02_MathReport_SumPaymentsOverTime_01[2021 ANS]),"")</f>
        <v>8</v>
      </c>
      <c r="J7" s="23">
        <f>IFERROR(COUNTA(Tbl_BONUS_02_MathReport_SumPaymentsOverTime_01[2022]),"")</f>
        <v>0</v>
      </c>
      <c r="K7" s="24">
        <f>IFERROR(COUNTIF(Tbl_BONUS_02_MathReport_SumPaymentsOverTime_01[Answer Status Q03],Rng_Lkp_AnswerStatus_Good),"")</f>
        <v>0</v>
      </c>
      <c r="L7" s="24">
        <f>IFERROR(COUNTA(Tbl_BONUS_02_MathReport_SumPaymentsOverTime_01[2022 ANS]),"")</f>
        <v>8</v>
      </c>
      <c r="O7" s="23">
        <f>IFERROR(COUNTA(Tbl_BONUS_02_MathReport_VendorSummaryFilters_01[Payment Amount Total w/ Report Filters]),"")</f>
        <v>0</v>
      </c>
      <c r="P7" s="24">
        <f>IFERROR(COUNTIF(Tbl_BONUS_02_MathReport_VendorSummaryFilters_01[Answer Status Q04],Rng_Lkp_AnswerStatus_Good),"")</f>
        <v>0</v>
      </c>
      <c r="Q7" s="24">
        <f>IFERROR(COUNTA(Tbl_BONUS_02_MathReport_VendorSummaryFilters_01[Payment Amount Total w/ Report Filters ANS]),"")</f>
        <v>8</v>
      </c>
    </row>
    <row r="8" spans="1:27" collapsed="1" x14ac:dyDescent="0.25">
      <c r="B8" s="25" t="str">
        <f>IFERROR(IF(SUMIFS(D7:Q7,D6:Q6,"&gt;=0")=0,"",SUMIFS(D7:Q7,D8:Q8,"&gt;=0", D8:Q8,"&lt;=1")/SUMIFS(D7:Q7,D6:Q6,"&gt;0")),"")</f>
        <v/>
      </c>
      <c r="C8" s="22" t="s">
        <v>9</v>
      </c>
      <c r="D8" s="43" t="s">
        <v>31</v>
      </c>
      <c r="E8" s="20" t="str">
        <f>IFERROR(E7/D7,"")</f>
        <v/>
      </c>
      <c r="F8" s="13" t="s">
        <v>0</v>
      </c>
      <c r="G8" s="43" t="s">
        <v>31</v>
      </c>
      <c r="H8" s="20" t="str">
        <f>IFERROR(H7/G7,"")</f>
        <v/>
      </c>
      <c r="I8" s="13" t="s">
        <v>0</v>
      </c>
      <c r="J8" s="43" t="s">
        <v>31</v>
      </c>
      <c r="K8" s="20" t="str">
        <f>IFERROR(K7/J7,"")</f>
        <v/>
      </c>
      <c r="L8" s="13" t="s">
        <v>0</v>
      </c>
      <c r="O8" s="43" t="s">
        <v>31</v>
      </c>
      <c r="P8" s="20" t="str">
        <f>IFERROR(P7/O7,"")</f>
        <v/>
      </c>
      <c r="Q8" s="13" t="s">
        <v>0</v>
      </c>
    </row>
    <row r="9" spans="1:27" ht="45" x14ac:dyDescent="0.25">
      <c r="B9" s="15" t="s">
        <v>20</v>
      </c>
      <c r="C9" s="15" t="s">
        <v>34</v>
      </c>
      <c r="D9" s="16" t="s">
        <v>169</v>
      </c>
      <c r="E9" s="18" t="s">
        <v>4</v>
      </c>
      <c r="F9" s="17" t="s">
        <v>166</v>
      </c>
      <c r="G9" s="123" t="s">
        <v>170</v>
      </c>
      <c r="H9" s="27" t="s">
        <v>5</v>
      </c>
      <c r="I9" s="53" t="s">
        <v>167</v>
      </c>
      <c r="J9" s="123" t="s">
        <v>171</v>
      </c>
      <c r="K9" s="27" t="s">
        <v>6</v>
      </c>
      <c r="L9" s="53" t="s">
        <v>168</v>
      </c>
      <c r="N9" s="15" t="s">
        <v>34</v>
      </c>
      <c r="O9" s="16" t="s">
        <v>81</v>
      </c>
      <c r="P9" s="18" t="s">
        <v>7</v>
      </c>
      <c r="Q9" s="17" t="s">
        <v>89</v>
      </c>
      <c r="S9" s="70" t="s">
        <v>82</v>
      </c>
      <c r="T9" s="70" t="s">
        <v>83</v>
      </c>
      <c r="V9" s="65" t="s">
        <v>20</v>
      </c>
      <c r="W9" s="65" t="s">
        <v>34</v>
      </c>
      <c r="X9" s="66" t="s">
        <v>74</v>
      </c>
      <c r="Y9" s="66" t="s">
        <v>71</v>
      </c>
      <c r="Z9" s="66" t="s">
        <v>72</v>
      </c>
      <c r="AA9" s="67" t="s">
        <v>73</v>
      </c>
    </row>
    <row r="10" spans="1:27" x14ac:dyDescent="0.25">
      <c r="B10" s="9">
        <v>1</v>
      </c>
      <c r="C10" s="10" t="s">
        <v>35</v>
      </c>
      <c r="D10" s="37"/>
      <c r="E10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0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1650</v>
      </c>
      <c r="G10" s="37"/>
      <c r="H10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0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2330</v>
      </c>
      <c r="J10" s="37"/>
      <c r="K10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0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290</v>
      </c>
      <c r="N10" s="10" t="s">
        <v>35</v>
      </c>
      <c r="O10" s="37"/>
      <c r="P10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0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980</v>
      </c>
      <c r="S10" t="s">
        <v>84</v>
      </c>
      <c r="T10" t="s">
        <v>85</v>
      </c>
      <c r="V10" s="9">
        <v>1</v>
      </c>
      <c r="W10" t="s">
        <v>35</v>
      </c>
      <c r="X10" s="34">
        <v>315</v>
      </c>
      <c r="Y10" s="69">
        <v>44037</v>
      </c>
      <c r="Z10" s="68">
        <f>YEAR(Tbl_BONUS_02_MathReport_ReportData_01[[#This Row],[Billing Start Date]])</f>
        <v>2020</v>
      </c>
      <c r="AA10" s="9" t="str">
        <f>TEXT(Tbl_BONUS_02_MathReport_ReportData_01[[#This Row],[Billing Start Date]],"dddd")</f>
        <v>Saturday</v>
      </c>
    </row>
    <row r="11" spans="1:27" x14ac:dyDescent="0.25">
      <c r="B11" s="9">
        <v>2</v>
      </c>
      <c r="C11" s="10" t="s">
        <v>44</v>
      </c>
      <c r="D11" s="38"/>
      <c r="E11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1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0</v>
      </c>
      <c r="G11" s="38"/>
      <c r="H11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1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540</v>
      </c>
      <c r="J11" s="38"/>
      <c r="K11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1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975</v>
      </c>
      <c r="N11" s="10" t="s">
        <v>44</v>
      </c>
      <c r="O11" s="38"/>
      <c r="P11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1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0</v>
      </c>
      <c r="S11" t="s">
        <v>86</v>
      </c>
      <c r="T11" t="s">
        <v>173</v>
      </c>
      <c r="V11" s="9">
        <v>2</v>
      </c>
      <c r="W11" t="s">
        <v>35</v>
      </c>
      <c r="X11" s="34">
        <v>370</v>
      </c>
      <c r="Y11" s="69">
        <v>44417</v>
      </c>
      <c r="Z11" s="68">
        <f>YEAR(Tbl_BONUS_02_MathReport_ReportData_01[[#This Row],[Billing Start Date]])</f>
        <v>2021</v>
      </c>
      <c r="AA11" s="9" t="str">
        <f>TEXT(Tbl_BONUS_02_MathReport_ReportData_01[[#This Row],[Billing Start Date]],"dddd")</f>
        <v>Monday</v>
      </c>
    </row>
    <row r="12" spans="1:27" x14ac:dyDescent="0.25">
      <c r="B12" s="9">
        <v>3</v>
      </c>
      <c r="C12" s="10" t="s">
        <v>36</v>
      </c>
      <c r="D12" s="38"/>
      <c r="E12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2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250</v>
      </c>
      <c r="G12" s="38"/>
      <c r="H12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2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0</v>
      </c>
      <c r="J12" s="38"/>
      <c r="K12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2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2" s="10" t="s">
        <v>36</v>
      </c>
      <c r="O12" s="38"/>
      <c r="P12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2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0</v>
      </c>
      <c r="S12" t="s">
        <v>87</v>
      </c>
      <c r="T12" t="s">
        <v>174</v>
      </c>
      <c r="V12" s="9">
        <v>3</v>
      </c>
      <c r="W12" t="s">
        <v>137</v>
      </c>
      <c r="X12" s="34">
        <v>200</v>
      </c>
      <c r="Y12" s="69">
        <v>44170</v>
      </c>
      <c r="Z12" s="68">
        <f>YEAR(Tbl_BONUS_02_MathReport_ReportData_01[[#This Row],[Billing Start Date]])</f>
        <v>2020</v>
      </c>
      <c r="AA12" s="9" t="str">
        <f>TEXT(Tbl_BONUS_02_MathReport_ReportData_01[[#This Row],[Billing Start Date]],"dddd")</f>
        <v>Saturday</v>
      </c>
    </row>
    <row r="13" spans="1:27" x14ac:dyDescent="0.25">
      <c r="B13" s="9">
        <v>4</v>
      </c>
      <c r="C13" s="10" t="s">
        <v>37</v>
      </c>
      <c r="D13" s="38"/>
      <c r="E13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3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0</v>
      </c>
      <c r="G13" s="38"/>
      <c r="H13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3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270</v>
      </c>
      <c r="J13" s="38"/>
      <c r="K13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3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3" s="10" t="s">
        <v>37</v>
      </c>
      <c r="O13" s="38"/>
      <c r="P13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3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0</v>
      </c>
      <c r="V13" s="9">
        <v>4</v>
      </c>
      <c r="W13" t="s">
        <v>36</v>
      </c>
      <c r="X13" s="34">
        <v>250</v>
      </c>
      <c r="Y13" s="69">
        <v>44028</v>
      </c>
      <c r="Z13" s="68">
        <f>YEAR(Tbl_BONUS_02_MathReport_ReportData_01[[#This Row],[Billing Start Date]])</f>
        <v>2020</v>
      </c>
      <c r="AA13" s="9" t="str">
        <f>TEXT(Tbl_BONUS_02_MathReport_ReportData_01[[#This Row],[Billing Start Date]],"dddd")</f>
        <v>Thursday</v>
      </c>
    </row>
    <row r="14" spans="1:27" x14ac:dyDescent="0.25">
      <c r="B14" s="9">
        <v>5</v>
      </c>
      <c r="C14" s="10" t="s">
        <v>38</v>
      </c>
      <c r="D14" s="38"/>
      <c r="E14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4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0</v>
      </c>
      <c r="G14" s="38"/>
      <c r="H14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4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615</v>
      </c>
      <c r="J14" s="38"/>
      <c r="K14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4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4" s="10" t="s">
        <v>38</v>
      </c>
      <c r="O14" s="38"/>
      <c r="P14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4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0</v>
      </c>
      <c r="V14" s="9">
        <v>5</v>
      </c>
      <c r="W14" t="s">
        <v>37</v>
      </c>
      <c r="X14" s="34">
        <v>270</v>
      </c>
      <c r="Y14" s="69">
        <v>44486</v>
      </c>
      <c r="Z14" s="68">
        <f>YEAR(Tbl_BONUS_02_MathReport_ReportData_01[[#This Row],[Billing Start Date]])</f>
        <v>2021</v>
      </c>
      <c r="AA14" s="9" t="str">
        <f>TEXT(Tbl_BONUS_02_MathReport_ReportData_01[[#This Row],[Billing Start Date]],"dddd")</f>
        <v>Sunday</v>
      </c>
    </row>
    <row r="15" spans="1:27" x14ac:dyDescent="0.25">
      <c r="B15" s="9">
        <v>6</v>
      </c>
      <c r="C15" s="10" t="s">
        <v>39</v>
      </c>
      <c r="D15" s="38"/>
      <c r="E15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5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1000</v>
      </c>
      <c r="G15" s="38"/>
      <c r="H15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5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0</v>
      </c>
      <c r="J15" s="38"/>
      <c r="K15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5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5" s="10" t="s">
        <v>39</v>
      </c>
      <c r="O15" s="38"/>
      <c r="P15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5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1000</v>
      </c>
      <c r="V15" s="9">
        <v>6</v>
      </c>
      <c r="W15" t="s">
        <v>38</v>
      </c>
      <c r="X15" s="34">
        <v>615</v>
      </c>
      <c r="Y15" s="69">
        <v>44464</v>
      </c>
      <c r="Z15" s="68">
        <f>YEAR(Tbl_BONUS_02_MathReport_ReportData_01[[#This Row],[Billing Start Date]])</f>
        <v>2021</v>
      </c>
      <c r="AA15" s="9" t="str">
        <f>TEXT(Tbl_BONUS_02_MathReport_ReportData_01[[#This Row],[Billing Start Date]],"dddd")</f>
        <v>Saturday</v>
      </c>
    </row>
    <row r="16" spans="1:27" x14ac:dyDescent="0.25">
      <c r="B16" s="9">
        <v>7</v>
      </c>
      <c r="C16" s="10" t="s">
        <v>40</v>
      </c>
      <c r="D16" s="38"/>
      <c r="E16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6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475</v>
      </c>
      <c r="G16" s="38"/>
      <c r="H16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6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0</v>
      </c>
      <c r="J16" s="38"/>
      <c r="K16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6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6" s="10" t="s">
        <v>40</v>
      </c>
      <c r="O16" s="38"/>
      <c r="P16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6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0</v>
      </c>
      <c r="V16" s="9">
        <v>7</v>
      </c>
      <c r="W16" t="s">
        <v>39</v>
      </c>
      <c r="X16" s="34">
        <v>1000</v>
      </c>
      <c r="Y16" s="69">
        <v>44082</v>
      </c>
      <c r="Z16" s="68">
        <f>YEAR(Tbl_BONUS_02_MathReport_ReportData_01[[#This Row],[Billing Start Date]])</f>
        <v>2020</v>
      </c>
      <c r="AA16" s="9" t="str">
        <f>TEXT(Tbl_BONUS_02_MathReport_ReportData_01[[#This Row],[Billing Start Date]],"dddd")</f>
        <v>Tuesday</v>
      </c>
    </row>
    <row r="17" spans="2:27" x14ac:dyDescent="0.25">
      <c r="B17" s="9">
        <v>8</v>
      </c>
      <c r="C17" s="10" t="s">
        <v>41</v>
      </c>
      <c r="D17" s="38"/>
      <c r="E17" s="19" t="str">
        <f>IFERROR(IF(Tbl_BONUS_02_MathReport_SumPaymentsOverTime_01[[#This Row],[2020]]="","",IF(AND(_xlfn.ISFORMULA(Tbl_BONUS_02_MathReport_SumPaymentsOverTime_01[[#This Row],[2020]]),EXACT(Tbl_BONUS_02_MathReport_SumPaymentsOverTime_01[[#This Row],[2020]],Tbl_BONUS_02_MathReport_SumPaymentsOverTime_01[[#This Row],[2020 ANS]])),Rng_Lkp_AnswerStatus_Good,Rng_Lkp_AnswerStatus_Bad)),Rng_Lkp_AnswerStatus_Bad)</f>
        <v/>
      </c>
      <c r="F17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Year],Tbl_BONUS_02_MathReport_SumPaymentsOverTime_01[[#Headers],[2020]])</f>
        <v>0</v>
      </c>
      <c r="G17" s="38"/>
      <c r="H17" s="19" t="str">
        <f>IFERROR(IF(Tbl_BONUS_02_MathReport_SumPaymentsOverTime_01[[#This Row],[2021]]="","",IF(AND(_xlfn.ISFORMULA(Tbl_BONUS_02_MathReport_SumPaymentsOverTime_01[[#This Row],[2021]]),EXACT(Tbl_BONUS_02_MathReport_SumPaymentsOverTime_01[[#This Row],[2021]],Tbl_BONUS_02_MathReport_SumPaymentsOverTime_01[[#This Row],[2021 ANS]])),Rng_Lkp_AnswerStatus_Good,Rng_Lkp_AnswerStatus_Bad)),Rng_Lkp_AnswerStatus_Bad)</f>
        <v/>
      </c>
      <c r="I17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Year],Tbl_BONUS_02_MathReport_SumPaymentsOverTime_01[[#Headers],[2021]])</f>
        <v>1125</v>
      </c>
      <c r="J17" s="38"/>
      <c r="K17" s="19" t="str">
        <f>IFERROR(IF(Tbl_BONUS_02_MathReport_SumPaymentsOverTime_01[[#This Row],[2022]]="","",IF(AND(_xlfn.ISFORMULA(Tbl_BONUS_02_MathReport_SumPaymentsOverTime_01[[#This Row],[2022]]),EXACT(Tbl_BONUS_02_MathReport_SumPaymentsOverTime_01[[#This Row],[2022]],Tbl_BONUS_02_MathReport_SumPaymentsOverTime_01[[#This Row],[2022 ANS]])),Rng_Lkp_AnswerStatus_Good,Rng_Lkp_AnswerStatus_Bad)),Rng_Lkp_AnswerStatus_Bad)</f>
        <v/>
      </c>
      <c r="L17" s="48">
        <f>SUMIFS(Tbl_BONUS_02_MathReport_ReportData_01[Payment Amount],Tbl_BONUS_02_MathReport_ReportData_01[Vendor Name],Tbl_BONUS_02_MathReport_SumPaymentsOverTime_01[[#This Row],[Vendor Name]],Tbl_BONUS_02_MathReport_ReportData_01[Billing Start Date Year],Tbl_BONUS_02_MathReport_SumPaymentsOverTime_01[[#Headers],[2022]])</f>
        <v>0</v>
      </c>
      <c r="N17" s="10" t="s">
        <v>41</v>
      </c>
      <c r="O17" s="38"/>
      <c r="P17" s="19" t="str">
        <f>IFERROR(IF(Tbl_BONUS_02_MathReport_VendorSummaryFilters_01[[#This Row],[Payment Amount Total w/ Report Filters]]="","",IF(AND(_xlfn.ISFORMULA(Tbl_BONUS_02_MathReport_VendorSummaryFilters_01[[#This Row],[Payment Amount Total w/ Report Filters]]),EXACT(Tbl_BONUS_02_MathReport_VendorSummaryFilters_01[[#This Row],[Payment Amount Total w/ Report Filters]],Tbl_BONUS_02_MathReport_VendorSummaryFilters_01[[#This Row],[Payment Amount Total w/ Report Filters ANS]])),Rng_Lkp_AnswerStatus_Good,Rng_Lkp_AnswerStatus_Bad)),Rng_Lkp_AnswerStatus_Bad)</f>
        <v/>
      </c>
      <c r="Q17" s="48">
        <f>SUMIFS(Tbl_BONUS_02_MathReport_ReportData_01[Payment Amount],Tbl_BONUS_02_MathReport_ReportData_01[Vendor Name],Tbl_BONUS_02_MathReport_VendorSummaryFilters_01[[#This Row],[Vendor Name]],Tbl_BONUS_02_MathReport_ReportData_01[Billing Start Date Weekday],$T$10,Tbl_BONUS_02_MathReport_ReportData_01[Payment Amount],$T$11,Tbl_BONUS_02_MathReport_ReportData_01[Billing Start Date],$T$12)</f>
        <v>1125</v>
      </c>
      <c r="V17" s="9">
        <v>8</v>
      </c>
      <c r="W17" t="s">
        <v>35</v>
      </c>
      <c r="X17" s="34">
        <v>980</v>
      </c>
      <c r="Y17" s="69">
        <v>44246</v>
      </c>
      <c r="Z17" s="68">
        <f>YEAR(Tbl_BONUS_02_MathReport_ReportData_01[[#This Row],[Billing Start Date]])</f>
        <v>2021</v>
      </c>
      <c r="AA17" s="9" t="str">
        <f>TEXT(Tbl_BONUS_02_MathReport_ReportData_01[[#This Row],[Billing Start Date]],"dddd")</f>
        <v>Friday</v>
      </c>
    </row>
    <row r="18" spans="2:27" x14ac:dyDescent="0.25">
      <c r="V18" s="9">
        <v>9</v>
      </c>
      <c r="W18" t="s">
        <v>35</v>
      </c>
      <c r="X18" s="34">
        <v>385</v>
      </c>
      <c r="Y18" s="69">
        <v>44016</v>
      </c>
      <c r="Z18" s="68">
        <f>YEAR(Tbl_BONUS_02_MathReport_ReportData_01[[#This Row],[Billing Start Date]])</f>
        <v>2020</v>
      </c>
      <c r="AA18" s="9" t="str">
        <f>TEXT(Tbl_BONUS_02_MathReport_ReportData_01[[#This Row],[Billing Start Date]],"dddd")</f>
        <v>Saturday</v>
      </c>
    </row>
    <row r="19" spans="2:27" x14ac:dyDescent="0.25">
      <c r="V19" s="9">
        <v>10</v>
      </c>
      <c r="W19" t="s">
        <v>35</v>
      </c>
      <c r="X19" s="34">
        <v>775</v>
      </c>
      <c r="Y19" s="69">
        <v>44119</v>
      </c>
      <c r="Z19" s="68">
        <f>YEAR(Tbl_BONUS_02_MathReport_ReportData_01[[#This Row],[Billing Start Date]])</f>
        <v>2020</v>
      </c>
      <c r="AA19" s="9" t="str">
        <f>TEXT(Tbl_BONUS_02_MathReport_ReportData_01[[#This Row],[Billing Start Date]],"dddd")</f>
        <v>Thursday</v>
      </c>
    </row>
    <row r="20" spans="2:27" x14ac:dyDescent="0.25">
      <c r="V20" s="9">
        <v>11</v>
      </c>
      <c r="W20" t="s">
        <v>40</v>
      </c>
      <c r="X20" s="34">
        <v>475</v>
      </c>
      <c r="Y20" s="69">
        <v>44188</v>
      </c>
      <c r="Z20" s="68">
        <f>YEAR(Tbl_BONUS_02_MathReport_ReportData_01[[#This Row],[Billing Start Date]])</f>
        <v>2020</v>
      </c>
      <c r="AA20" s="9" t="str">
        <f>TEXT(Tbl_BONUS_02_MathReport_ReportData_01[[#This Row],[Billing Start Date]],"dddd")</f>
        <v>Wednesday</v>
      </c>
    </row>
    <row r="21" spans="2:27" x14ac:dyDescent="0.25">
      <c r="V21" s="9">
        <v>12</v>
      </c>
      <c r="W21" t="s">
        <v>41</v>
      </c>
      <c r="X21" s="34">
        <v>1125</v>
      </c>
      <c r="Y21" s="69">
        <v>44299</v>
      </c>
      <c r="Z21" s="68">
        <f>YEAR(Tbl_BONUS_02_MathReport_ReportData_01[[#This Row],[Billing Start Date]])</f>
        <v>2021</v>
      </c>
      <c r="AA21" s="9" t="str">
        <f>TEXT(Tbl_BONUS_02_MathReport_ReportData_01[[#This Row],[Billing Start Date]],"dddd")</f>
        <v>Tuesday</v>
      </c>
    </row>
    <row r="22" spans="2:27" x14ac:dyDescent="0.25">
      <c r="V22" s="9">
        <v>13</v>
      </c>
      <c r="W22" t="s">
        <v>42</v>
      </c>
      <c r="X22" s="34">
        <v>450</v>
      </c>
      <c r="Y22" s="69">
        <v>44628</v>
      </c>
      <c r="Z22" s="68">
        <f>YEAR(Tbl_BONUS_02_MathReport_ReportData_01[[#This Row],[Billing Start Date]])</f>
        <v>2022</v>
      </c>
      <c r="AA22" s="9" t="str">
        <f>TEXT(Tbl_BONUS_02_MathReport_ReportData_01[[#This Row],[Billing Start Date]],"dddd")</f>
        <v>Tuesday</v>
      </c>
    </row>
    <row r="23" spans="2:27" x14ac:dyDescent="0.25">
      <c r="V23" s="9">
        <v>14</v>
      </c>
      <c r="W23" t="s">
        <v>43</v>
      </c>
      <c r="X23" s="34">
        <v>750</v>
      </c>
      <c r="Y23" s="69">
        <v>44409</v>
      </c>
      <c r="Z23" s="68">
        <f>YEAR(Tbl_BONUS_02_MathReport_ReportData_01[[#This Row],[Billing Start Date]])</f>
        <v>2021</v>
      </c>
      <c r="AA23" s="9" t="str">
        <f>TEXT(Tbl_BONUS_02_MathReport_ReportData_01[[#This Row],[Billing Start Date]],"dddd")</f>
        <v>Sunday</v>
      </c>
    </row>
    <row r="24" spans="2:27" x14ac:dyDescent="0.25">
      <c r="V24" s="9">
        <v>15</v>
      </c>
      <c r="W24" t="s">
        <v>137</v>
      </c>
      <c r="X24" s="34">
        <v>275</v>
      </c>
      <c r="Y24" s="69">
        <v>44330</v>
      </c>
      <c r="Z24" s="68">
        <f>YEAR(Tbl_BONUS_02_MathReport_ReportData_01[[#This Row],[Billing Start Date]])</f>
        <v>2021</v>
      </c>
      <c r="AA24" s="9" t="str">
        <f>TEXT(Tbl_BONUS_02_MathReport_ReportData_01[[#This Row],[Billing Start Date]],"dddd")</f>
        <v>Friday</v>
      </c>
    </row>
    <row r="25" spans="2:27" x14ac:dyDescent="0.25">
      <c r="V25" s="9">
        <v>16</v>
      </c>
      <c r="W25" t="s">
        <v>44</v>
      </c>
      <c r="X25" s="34">
        <v>255</v>
      </c>
      <c r="Y25" s="69">
        <v>44350</v>
      </c>
      <c r="Z25" s="68">
        <f>YEAR(Tbl_BONUS_02_MathReport_ReportData_01[[#This Row],[Billing Start Date]])</f>
        <v>2021</v>
      </c>
      <c r="AA25" s="9" t="str">
        <f>TEXT(Tbl_BONUS_02_MathReport_ReportData_01[[#This Row],[Billing Start Date]],"dddd")</f>
        <v>Thursday</v>
      </c>
    </row>
    <row r="26" spans="2:27" x14ac:dyDescent="0.25">
      <c r="V26" s="9">
        <v>17</v>
      </c>
      <c r="W26" t="s">
        <v>35</v>
      </c>
      <c r="X26" s="34">
        <v>290</v>
      </c>
      <c r="Y26" s="69">
        <v>44589</v>
      </c>
      <c r="Z26" s="68">
        <f>YEAR(Tbl_BONUS_02_MathReport_ReportData_01[[#This Row],[Billing Start Date]])</f>
        <v>2022</v>
      </c>
      <c r="AA26" s="9" t="str">
        <f>TEXT(Tbl_BONUS_02_MathReport_ReportData_01[[#This Row],[Billing Start Date]],"dddd")</f>
        <v>Friday</v>
      </c>
    </row>
    <row r="27" spans="2:27" x14ac:dyDescent="0.25">
      <c r="V27" s="9">
        <v>18</v>
      </c>
      <c r="W27" t="s">
        <v>45</v>
      </c>
      <c r="X27" s="34">
        <v>475</v>
      </c>
      <c r="Y27" s="69">
        <v>44351</v>
      </c>
      <c r="Z27" s="68">
        <f>YEAR(Tbl_BONUS_02_MathReport_ReportData_01[[#This Row],[Billing Start Date]])</f>
        <v>2021</v>
      </c>
      <c r="AA27" s="9" t="str">
        <f>TEXT(Tbl_BONUS_02_MathReport_ReportData_01[[#This Row],[Billing Start Date]],"dddd")</f>
        <v>Friday</v>
      </c>
    </row>
    <row r="28" spans="2:27" x14ac:dyDescent="0.25">
      <c r="V28" s="9">
        <v>19</v>
      </c>
      <c r="W28" t="s">
        <v>44</v>
      </c>
      <c r="X28" s="34">
        <v>285</v>
      </c>
      <c r="Y28" s="69">
        <v>44478</v>
      </c>
      <c r="Z28" s="68">
        <f>YEAR(Tbl_BONUS_02_MathReport_ReportData_01[[#This Row],[Billing Start Date]])</f>
        <v>2021</v>
      </c>
      <c r="AA28" s="9" t="str">
        <f>TEXT(Tbl_BONUS_02_MathReport_ReportData_01[[#This Row],[Billing Start Date]],"dddd")</f>
        <v>Saturday</v>
      </c>
    </row>
    <row r="29" spans="2:27" x14ac:dyDescent="0.25">
      <c r="V29" s="9">
        <v>20</v>
      </c>
      <c r="W29" t="s">
        <v>44</v>
      </c>
      <c r="X29" s="34">
        <v>975</v>
      </c>
      <c r="Y29" s="69">
        <v>44580</v>
      </c>
      <c r="Z29" s="68">
        <f>YEAR(Tbl_BONUS_02_MathReport_ReportData_01[[#This Row],[Billing Start Date]])</f>
        <v>2022</v>
      </c>
      <c r="AA29" s="9" t="str">
        <f>TEXT(Tbl_BONUS_02_MathReport_ReportData_01[[#This Row],[Billing Start Date]],"dddd")</f>
        <v>Wednesday</v>
      </c>
    </row>
    <row r="30" spans="2:27" x14ac:dyDescent="0.25">
      <c r="V30" s="9">
        <v>21</v>
      </c>
      <c r="W30" t="s">
        <v>35</v>
      </c>
      <c r="X30" s="34">
        <v>175</v>
      </c>
      <c r="Y30" s="69">
        <v>44018</v>
      </c>
      <c r="Z30" s="68">
        <f>YEAR(Tbl_BONUS_02_MathReport_ReportData_01[[#This Row],[Billing Start Date]])</f>
        <v>2020</v>
      </c>
      <c r="AA30" s="9" t="str">
        <f>TEXT(Tbl_BONUS_02_MathReport_ReportData_01[[#This Row],[Billing Start Date]],"dddd")</f>
        <v>Monday</v>
      </c>
    </row>
    <row r="31" spans="2:27" x14ac:dyDescent="0.25">
      <c r="V31" s="9">
        <v>22</v>
      </c>
      <c r="W31" t="s">
        <v>35</v>
      </c>
      <c r="X31" s="34">
        <v>980</v>
      </c>
      <c r="Y31" s="69">
        <v>44551</v>
      </c>
      <c r="Z31" s="68">
        <f>YEAR(Tbl_BONUS_02_MathReport_ReportData_01[[#This Row],[Billing Start Date]])</f>
        <v>2021</v>
      </c>
      <c r="AA31" s="9" t="str">
        <f>TEXT(Tbl_BONUS_02_MathReport_ReportData_01[[#This Row],[Billing Start Date]],"dddd")</f>
        <v>Tuesday</v>
      </c>
    </row>
    <row r="32" spans="2:27" x14ac:dyDescent="0.25">
      <c r="V32" s="9">
        <v>23</v>
      </c>
      <c r="W32" t="s">
        <v>137</v>
      </c>
      <c r="X32" s="34">
        <v>700</v>
      </c>
      <c r="Y32" s="69">
        <v>44145</v>
      </c>
      <c r="Z32" s="68">
        <f>YEAR(Tbl_BONUS_02_MathReport_ReportData_01[[#This Row],[Billing Start Date]])</f>
        <v>2020</v>
      </c>
      <c r="AA32" s="9" t="str">
        <f>TEXT(Tbl_BONUS_02_MathReport_ReportData_01[[#This Row],[Billing Start Date]],"dddd")</f>
        <v>Tuesday</v>
      </c>
    </row>
    <row r="33" spans="22:27" x14ac:dyDescent="0.25">
      <c r="V33" s="9">
        <v>24</v>
      </c>
      <c r="W33" t="s">
        <v>45</v>
      </c>
      <c r="X33" s="34">
        <v>285</v>
      </c>
      <c r="Y33" s="69">
        <v>43958</v>
      </c>
      <c r="Z33" s="68">
        <f>YEAR(Tbl_BONUS_02_MathReport_ReportData_01[[#This Row],[Billing Start Date]])</f>
        <v>2020</v>
      </c>
      <c r="AA33" s="9" t="str">
        <f>TEXT(Tbl_BONUS_02_MathReport_ReportData_01[[#This Row],[Billing Start Date]],"dddd")</f>
        <v>Thursday</v>
      </c>
    </row>
  </sheetData>
  <conditionalFormatting sqref="P8">
    <cfRule type="colorScale" priority="2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N10:Q17">
    <cfRule type="cellIs" dxfId="194" priority="24" operator="equal">
      <formula>Rng_Lkp_AnswerStatus_Bad</formula>
    </cfRule>
    <cfRule type="cellIs" dxfId="193" priority="25" operator="equal">
      <formula>Rng_Lkp_AnswerStatus_Good</formula>
    </cfRule>
  </conditionalFormatting>
  <conditionalFormatting sqref="B7:B8 E8">
    <cfRule type="colorScale" priority="2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F17">
    <cfRule type="cellIs" dxfId="192" priority="21" operator="equal">
      <formula>Rng_Lkp_AnswerStatus_Bad</formula>
    </cfRule>
    <cfRule type="cellIs" dxfId="191" priority="22" operator="equal">
      <formula>Rng_Lkp_AnswerStatus_Good</formula>
    </cfRule>
  </conditionalFormatting>
  <conditionalFormatting sqref="K8">
    <cfRule type="colorScale" priority="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J10:K17">
    <cfRule type="cellIs" dxfId="190" priority="9" operator="equal">
      <formula>Rng_Lkp_AnswerStatus_Bad</formula>
    </cfRule>
    <cfRule type="cellIs" dxfId="189" priority="10" operator="equal">
      <formula>Rng_Lkp_AnswerStatus_Good</formula>
    </cfRule>
  </conditionalFormatting>
  <conditionalFormatting sqref="H8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G10:H17">
    <cfRule type="cellIs" dxfId="188" priority="6" operator="equal">
      <formula>Rng_Lkp_AnswerStatus_Bad</formula>
    </cfRule>
    <cfRule type="cellIs" dxfId="187" priority="7" operator="equal">
      <formula>Rng_Lkp_AnswerStatus_Good</formula>
    </cfRule>
  </conditionalFormatting>
  <conditionalFormatting sqref="I10:I17">
    <cfRule type="cellIs" dxfId="186" priority="3" operator="equal">
      <formula>Rng_Lkp_AnswerStatus_Bad</formula>
    </cfRule>
    <cfRule type="cellIs" dxfId="185" priority="4" operator="equal">
      <formula>Rng_Lkp_AnswerStatus_Good</formula>
    </cfRule>
  </conditionalFormatting>
  <conditionalFormatting sqref="L10:L17">
    <cfRule type="cellIs" dxfId="184" priority="1" operator="equal">
      <formula>Rng_Lkp_AnswerStatus_Bad</formula>
    </cfRule>
    <cfRule type="cellIs" dxfId="183" priority="2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Overview</vt:lpstr>
      <vt:lpstr>REVIEW) Formula Fundamentals</vt:lpstr>
      <vt:lpstr>A1) Relative References</vt:lpstr>
      <vt:lpstr>A2) Absolute References</vt:lpstr>
      <vt:lpstr>A3) Mixed References</vt:lpstr>
      <vt:lpstr>A4) Math Functions</vt:lpstr>
      <vt:lpstr>A5) Math Report</vt:lpstr>
      <vt:lpstr>BONUS 1) Math Functions</vt:lpstr>
      <vt:lpstr>BONUS 2) Math Report</vt:lpstr>
      <vt:lpstr>B6) Text Functions</vt:lpstr>
      <vt:lpstr>BONUS 3) Text Functions</vt:lpstr>
      <vt:lpstr>Lookup Values</vt:lpstr>
      <vt:lpstr>Rng_Lkp_AnswerStatus_Bad</vt:lpstr>
      <vt:lpstr>Rng_Lkp_AnswerStatus_Good</vt:lpstr>
      <vt:lpstr>Rng_Lkp_FormulaElement</vt:lpstr>
      <vt:lpstr>Rng_Lkp_YN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2023-05-25T15:09:30Z</dcterms:modified>
</cp:coreProperties>
</file>