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00Jobs\Corp Training\Active Clients\JPro\Specific Classes\2024_07 Formula Deep Dive\Blank Files\"/>
    </mc:Choice>
  </mc:AlternateContent>
  <xr:revisionPtr revIDLastSave="0" documentId="13_ncr:1_{EE55E2DA-9182-4B52-AAD7-8146AE58EC95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Overview" sheetId="64" r:id="rId1"/>
    <sheet name="REF) Formula Fundamentals" sheetId="69" r:id="rId2"/>
    <sheet name="REF) Formula Fundamentals Print" sheetId="70" state="hidden" r:id="rId3"/>
    <sheet name="A1) Date &amp; Time Functions" sheetId="67" r:id="rId4"/>
    <sheet name="BONUS 1) Date &amp; Time Functions" sheetId="68" r:id="rId5"/>
    <sheet name="B2) Logical Functions" sheetId="60" r:id="rId6"/>
    <sheet name="BONUS 2) Logical Functions" sheetId="62" r:id="rId7"/>
    <sheet name="Lookup Values" sheetId="36" state="hidden" r:id="rId8"/>
  </sheets>
  <definedNames>
    <definedName name="Rng_Lkp_AnswerStatus_Bad">'Lookup Values'!$A$3</definedName>
    <definedName name="Rng_Lkp_AnswerStatus_Good">'Lookup Values'!$A$2</definedName>
    <definedName name="Rng_Lkp_YN">Tbl_Lkp_YN[YesNo]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70" l="1"/>
  <c r="B18" i="70"/>
  <c r="I21" i="69"/>
  <c r="C17" i="69"/>
  <c r="R8" i="62"/>
  <c r="R9" i="62"/>
  <c r="R10" i="62"/>
  <c r="R11" i="62"/>
  <c r="R12" i="62"/>
  <c r="R13" i="62"/>
  <c r="R14" i="62"/>
  <c r="R15" i="62"/>
  <c r="R16" i="62"/>
  <c r="R17" i="62"/>
  <c r="R18" i="62"/>
  <c r="R19" i="62"/>
  <c r="R20" i="62"/>
  <c r="R21" i="62"/>
  <c r="R22" i="62"/>
  <c r="R23" i="62"/>
  <c r="R24" i="62"/>
  <c r="R25" i="62"/>
  <c r="R26" i="62"/>
  <c r="R27" i="62"/>
  <c r="R28" i="62"/>
  <c r="R29" i="62"/>
  <c r="R30" i="62"/>
  <c r="R31" i="62"/>
  <c r="U18" i="62"/>
  <c r="AD10" i="60"/>
  <c r="AD11" i="60"/>
  <c r="AD12" i="60"/>
  <c r="AD13" i="60"/>
  <c r="AD14" i="60"/>
  <c r="AD15" i="60"/>
  <c r="AD16" i="60"/>
  <c r="AD17" i="60"/>
  <c r="AD18" i="60"/>
  <c r="AD19" i="60"/>
  <c r="AD20" i="60"/>
  <c r="AD21" i="60"/>
  <c r="AD22" i="60"/>
  <c r="AD23" i="60"/>
  <c r="AD24" i="60"/>
  <c r="AD25" i="60"/>
  <c r="AD26" i="60"/>
  <c r="AD27" i="60"/>
  <c r="AD28" i="60"/>
  <c r="AD29" i="60"/>
  <c r="AD30" i="60"/>
  <c r="AD31" i="60"/>
  <c r="AD32" i="60"/>
  <c r="AD33" i="60"/>
  <c r="AC10" i="60"/>
  <c r="AC11" i="60"/>
  <c r="AC12" i="60"/>
  <c r="AC13" i="60"/>
  <c r="AC14" i="60"/>
  <c r="AC15" i="60"/>
  <c r="AC16" i="60"/>
  <c r="AC17" i="60"/>
  <c r="AC18" i="60"/>
  <c r="AC19" i="60"/>
  <c r="AC20" i="60"/>
  <c r="AC21" i="60"/>
  <c r="AC22" i="60"/>
  <c r="AC23" i="60"/>
  <c r="AC24" i="60"/>
  <c r="AC25" i="60"/>
  <c r="AC26" i="60"/>
  <c r="AC27" i="60"/>
  <c r="AC28" i="60"/>
  <c r="AC29" i="60"/>
  <c r="AC30" i="60"/>
  <c r="AC31" i="60"/>
  <c r="AC32" i="60"/>
  <c r="AC33" i="60"/>
  <c r="AA10" i="60"/>
  <c r="Z10" i="60"/>
  <c r="AA11" i="60"/>
  <c r="Z11" i="60"/>
  <c r="AA12" i="60"/>
  <c r="Z12" i="60"/>
  <c r="AA13" i="60"/>
  <c r="Z13" i="60"/>
  <c r="AA14" i="60"/>
  <c r="Z14" i="60"/>
  <c r="AA15" i="60"/>
  <c r="Z15" i="60"/>
  <c r="AA16" i="60"/>
  <c r="Z16" i="60"/>
  <c r="AA17" i="60"/>
  <c r="Z17" i="60"/>
  <c r="AA18" i="60"/>
  <c r="Z18" i="60"/>
  <c r="AA19" i="60"/>
  <c r="Z19" i="60"/>
  <c r="AA20" i="60"/>
  <c r="Z20" i="60"/>
  <c r="AA21" i="60"/>
  <c r="Z21" i="60"/>
  <c r="AA22" i="60"/>
  <c r="Z22" i="60"/>
  <c r="AA23" i="60"/>
  <c r="Z23" i="60"/>
  <c r="AA24" i="60"/>
  <c r="Z24" i="60"/>
  <c r="AA25" i="60"/>
  <c r="Z25" i="60"/>
  <c r="AA26" i="60"/>
  <c r="Z26" i="60"/>
  <c r="AA27" i="60"/>
  <c r="Z27" i="60"/>
  <c r="AA28" i="60"/>
  <c r="Z28" i="60"/>
  <c r="AA29" i="60"/>
  <c r="Z29" i="60"/>
  <c r="AA30" i="60"/>
  <c r="Z30" i="60"/>
  <c r="AA31" i="60"/>
  <c r="Z31" i="60"/>
  <c r="AA32" i="60"/>
  <c r="Z32" i="60"/>
  <c r="AA33" i="60"/>
  <c r="Z33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P8" i="60" a="1"/>
  <c r="P8" i="60"/>
  <c r="O10" i="60"/>
  <c r="O11" i="60"/>
  <c r="O12" i="60"/>
  <c r="O13" i="60"/>
  <c r="O14" i="60"/>
  <c r="O15" i="60"/>
  <c r="O16" i="60"/>
  <c r="O17" i="60"/>
  <c r="O18" i="60"/>
  <c r="O19" i="60"/>
  <c r="O20" i="60"/>
  <c r="O21" i="60"/>
  <c r="O22" i="60"/>
  <c r="O23" i="60"/>
  <c r="O24" i="60"/>
  <c r="O25" i="60"/>
  <c r="O26" i="60"/>
  <c r="O27" i="60"/>
  <c r="O28" i="60"/>
  <c r="O29" i="60"/>
  <c r="O30" i="60"/>
  <c r="O31" i="60"/>
  <c r="O32" i="60"/>
  <c r="O33" i="60"/>
  <c r="AD7" i="60"/>
  <c r="AC7" i="60"/>
  <c r="AB7" i="60"/>
  <c r="Z7" i="60"/>
  <c r="AA7" i="60"/>
  <c r="Y7" i="60"/>
  <c r="AC8" i="60"/>
  <c r="Z8" i="60"/>
  <c r="AE8" i="68"/>
  <c r="AE9" i="68"/>
  <c r="AE10" i="68"/>
  <c r="AE11" i="68"/>
  <c r="AE12" i="68"/>
  <c r="AE13" i="68"/>
  <c r="AE14" i="68"/>
  <c r="AE15" i="68"/>
  <c r="AE16" i="68"/>
  <c r="AE17" i="68"/>
  <c r="AE18" i="68"/>
  <c r="AE19" i="68"/>
  <c r="AE20" i="68"/>
  <c r="AE21" i="68"/>
  <c r="AE22" i="68"/>
  <c r="AE23" i="68"/>
  <c r="AE24" i="68"/>
  <c r="AE25" i="68"/>
  <c r="AE26" i="68"/>
  <c r="AE27" i="68"/>
  <c r="AE28" i="68"/>
  <c r="AE29" i="68"/>
  <c r="AE30" i="68"/>
  <c r="AE31" i="68"/>
  <c r="AB8" i="68"/>
  <c r="AB9" i="68"/>
  <c r="AB10" i="68"/>
  <c r="AB11" i="68"/>
  <c r="AB12" i="68"/>
  <c r="AB13" i="68"/>
  <c r="AB14" i="68"/>
  <c r="AB15" i="68"/>
  <c r="AB16" i="68"/>
  <c r="AB17" i="68"/>
  <c r="AB18" i="68"/>
  <c r="AB19" i="68"/>
  <c r="AB20" i="68"/>
  <c r="AB21" i="68"/>
  <c r="AB22" i="68"/>
  <c r="AB23" i="68"/>
  <c r="AB24" i="68"/>
  <c r="AB25" i="68"/>
  <c r="AB26" i="68"/>
  <c r="AB27" i="68"/>
  <c r="AB28" i="68"/>
  <c r="AB29" i="68"/>
  <c r="AB30" i="68"/>
  <c r="AB31" i="68"/>
  <c r="Y8" i="68"/>
  <c r="Y9" i="68"/>
  <c r="Y10" i="68"/>
  <c r="Y11" i="68"/>
  <c r="Y12" i="68"/>
  <c r="Y13" i="68"/>
  <c r="Y14" i="68"/>
  <c r="Y15" i="68"/>
  <c r="Y16" i="68"/>
  <c r="Y17" i="68"/>
  <c r="Y18" i="68"/>
  <c r="Y19" i="68"/>
  <c r="Y20" i="68"/>
  <c r="Y21" i="68"/>
  <c r="Y22" i="68"/>
  <c r="Y23" i="68"/>
  <c r="Y24" i="68"/>
  <c r="Y25" i="68"/>
  <c r="Y26" i="68"/>
  <c r="Y27" i="68"/>
  <c r="Y28" i="68"/>
  <c r="Y29" i="68"/>
  <c r="Y30" i="68"/>
  <c r="Y31" i="68"/>
  <c r="V8" i="68"/>
  <c r="V9" i="68"/>
  <c r="V10" i="68"/>
  <c r="V11" i="68"/>
  <c r="V12" i="68"/>
  <c r="V13" i="68"/>
  <c r="V14" i="68"/>
  <c r="V15" i="68"/>
  <c r="V16" i="68"/>
  <c r="V17" i="68"/>
  <c r="V18" i="68"/>
  <c r="V19" i="68"/>
  <c r="V20" i="68"/>
  <c r="V21" i="68"/>
  <c r="V22" i="68"/>
  <c r="V23" i="68"/>
  <c r="V24" i="68"/>
  <c r="V25" i="68"/>
  <c r="V26" i="68"/>
  <c r="V27" i="68"/>
  <c r="V28" i="68"/>
  <c r="V29" i="68"/>
  <c r="V30" i="68"/>
  <c r="V31" i="68"/>
  <c r="S8" i="68"/>
  <c r="S9" i="68"/>
  <c r="S10" i="68"/>
  <c r="S11" i="68"/>
  <c r="S12" i="68"/>
  <c r="S13" i="68"/>
  <c r="S14" i="68"/>
  <c r="S15" i="68"/>
  <c r="S16" i="68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P8" i="68"/>
  <c r="P9" i="68"/>
  <c r="P10" i="68"/>
  <c r="P11" i="68"/>
  <c r="P12" i="68"/>
  <c r="P13" i="68"/>
  <c r="P14" i="68"/>
  <c r="P15" i="68"/>
  <c r="P16" i="68"/>
  <c r="P17" i="68"/>
  <c r="P18" i="68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27" i="68"/>
  <c r="M28" i="68"/>
  <c r="M29" i="68"/>
  <c r="M30" i="68"/>
  <c r="M31" i="68"/>
  <c r="J8" i="68"/>
  <c r="J9" i="68"/>
  <c r="J10" i="68"/>
  <c r="J11" i="68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G8" i="68"/>
  <c r="G9" i="68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AD8" i="68"/>
  <c r="AD9" i="68"/>
  <c r="AD10" i="68"/>
  <c r="AD11" i="68"/>
  <c r="AD12" i="68"/>
  <c r="AD13" i="68"/>
  <c r="AD14" i="68"/>
  <c r="AD15" i="68"/>
  <c r="AD16" i="68"/>
  <c r="AD17" i="68"/>
  <c r="AD18" i="68"/>
  <c r="AD19" i="68"/>
  <c r="AD20" i="68"/>
  <c r="AD21" i="68"/>
  <c r="AD22" i="68"/>
  <c r="AD23" i="68"/>
  <c r="AD24" i="68"/>
  <c r="AD25" i="68"/>
  <c r="AD26" i="68"/>
  <c r="AD27" i="68"/>
  <c r="AD28" i="68"/>
  <c r="AD29" i="68"/>
  <c r="AD30" i="68"/>
  <c r="AD31" i="68"/>
  <c r="AD5" i="68"/>
  <c r="AC5" i="68"/>
  <c r="AD6" i="68"/>
  <c r="AA8" i="68"/>
  <c r="AA9" i="68"/>
  <c r="AA10" i="68"/>
  <c r="AA11" i="68"/>
  <c r="AA12" i="68"/>
  <c r="AA13" i="68"/>
  <c r="AA14" i="68"/>
  <c r="AA15" i="68"/>
  <c r="AA16" i="68"/>
  <c r="AA17" i="68"/>
  <c r="AA18" i="68"/>
  <c r="AA19" i="68"/>
  <c r="AA20" i="68"/>
  <c r="AA21" i="68"/>
  <c r="AA22" i="68"/>
  <c r="AA23" i="68"/>
  <c r="AA24" i="68"/>
  <c r="AA25" i="68"/>
  <c r="AA26" i="68"/>
  <c r="AA27" i="68"/>
  <c r="AA28" i="68"/>
  <c r="AA29" i="68"/>
  <c r="AA30" i="68"/>
  <c r="AA31" i="68"/>
  <c r="AA5" i="68"/>
  <c r="Z5" i="68"/>
  <c r="AA6" i="68"/>
  <c r="X8" i="68"/>
  <c r="X9" i="68"/>
  <c r="X10" i="68"/>
  <c r="X11" i="68"/>
  <c r="X12" i="68"/>
  <c r="X13" i="68"/>
  <c r="X14" i="68"/>
  <c r="X15" i="68"/>
  <c r="X16" i="68"/>
  <c r="X17" i="68"/>
  <c r="X18" i="68"/>
  <c r="X19" i="68"/>
  <c r="X20" i="68"/>
  <c r="X21" i="68"/>
  <c r="X22" i="68"/>
  <c r="X23" i="68"/>
  <c r="X24" i="68"/>
  <c r="X25" i="68"/>
  <c r="X26" i="68"/>
  <c r="X27" i="68"/>
  <c r="X28" i="68"/>
  <c r="X29" i="68"/>
  <c r="X30" i="68"/>
  <c r="X31" i="68"/>
  <c r="X5" i="68"/>
  <c r="W5" i="68"/>
  <c r="X6" i="68"/>
  <c r="U8" i="68"/>
  <c r="U9" i="68"/>
  <c r="U10" i="68"/>
  <c r="U11" i="68"/>
  <c r="U12" i="68"/>
  <c r="U13" i="68"/>
  <c r="U14" i="68"/>
  <c r="U15" i="68"/>
  <c r="U16" i="68"/>
  <c r="U17" i="68"/>
  <c r="U18" i="68"/>
  <c r="U19" i="68"/>
  <c r="U20" i="68"/>
  <c r="U21" i="68"/>
  <c r="U22" i="68"/>
  <c r="U23" i="68"/>
  <c r="U24" i="68"/>
  <c r="U25" i="68"/>
  <c r="U26" i="68"/>
  <c r="U27" i="68"/>
  <c r="U28" i="68"/>
  <c r="U29" i="68"/>
  <c r="U30" i="68"/>
  <c r="U31" i="68"/>
  <c r="U5" i="68"/>
  <c r="T5" i="68"/>
  <c r="U6" i="68"/>
  <c r="R8" i="68"/>
  <c r="R9" i="68"/>
  <c r="R10" i="68"/>
  <c r="R11" i="68"/>
  <c r="R12" i="68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5" i="68"/>
  <c r="Q5" i="68"/>
  <c r="R6" i="68"/>
  <c r="O8" i="68"/>
  <c r="O9" i="68"/>
  <c r="O10" i="68"/>
  <c r="O11" i="68"/>
  <c r="O12" i="68"/>
  <c r="O13" i="68"/>
  <c r="O14" i="68"/>
  <c r="O15" i="68"/>
  <c r="O16" i="68"/>
  <c r="O17" i="68"/>
  <c r="O18" i="68"/>
  <c r="O19" i="68"/>
  <c r="O20" i="68"/>
  <c r="O21" i="68"/>
  <c r="O22" i="68"/>
  <c r="O23" i="68"/>
  <c r="O24" i="68"/>
  <c r="O25" i="68"/>
  <c r="O26" i="68"/>
  <c r="O27" i="68"/>
  <c r="O28" i="68"/>
  <c r="O29" i="68"/>
  <c r="O30" i="68"/>
  <c r="O31" i="68"/>
  <c r="O5" i="68"/>
  <c r="N5" i="68"/>
  <c r="O6" i="68"/>
  <c r="L8" i="68"/>
  <c r="L9" i="68"/>
  <c r="L10" i="68"/>
  <c r="L11" i="68"/>
  <c r="L12" i="68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5" i="68"/>
  <c r="K5" i="68"/>
  <c r="L6" i="68"/>
  <c r="I8" i="68"/>
  <c r="I9" i="68"/>
  <c r="I10" i="68"/>
  <c r="I11" i="68"/>
  <c r="I12" i="68"/>
  <c r="I13" i="68"/>
  <c r="I14" i="68"/>
  <c r="I15" i="68"/>
  <c r="I16" i="68"/>
  <c r="I17" i="68"/>
  <c r="I18" i="68"/>
  <c r="I19" i="68"/>
  <c r="I20" i="68"/>
  <c r="I21" i="68"/>
  <c r="I22" i="68"/>
  <c r="I23" i="68"/>
  <c r="I24" i="68"/>
  <c r="I25" i="68"/>
  <c r="I26" i="68"/>
  <c r="I27" i="68"/>
  <c r="I28" i="68"/>
  <c r="I29" i="68"/>
  <c r="I30" i="68"/>
  <c r="I31" i="68"/>
  <c r="I5" i="68"/>
  <c r="H5" i="68"/>
  <c r="I6" i="68"/>
  <c r="F8" i="68"/>
  <c r="F9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30" i="68"/>
  <c r="F31" i="68"/>
  <c r="F5" i="68"/>
  <c r="E5" i="68"/>
  <c r="F6" i="68"/>
  <c r="B6" i="68"/>
  <c r="AE5" i="68"/>
  <c r="AB5" i="68"/>
  <c r="Y5" i="68"/>
  <c r="V5" i="68"/>
  <c r="S5" i="68"/>
  <c r="P5" i="68"/>
  <c r="M5" i="68"/>
  <c r="J5" i="68"/>
  <c r="G5" i="68"/>
  <c r="B5" i="68"/>
  <c r="AE8" i="67"/>
  <c r="AE9" i="67"/>
  <c r="AE10" i="67"/>
  <c r="AE11" i="67"/>
  <c r="AE12" i="67"/>
  <c r="AE13" i="67"/>
  <c r="AE14" i="67"/>
  <c r="AE15" i="67"/>
  <c r="AE16" i="67"/>
  <c r="AE17" i="67"/>
  <c r="AE18" i="67"/>
  <c r="AE19" i="67"/>
  <c r="AE20" i="67"/>
  <c r="AE21" i="67"/>
  <c r="AE22" i="67"/>
  <c r="AE23" i="67"/>
  <c r="AE24" i="67"/>
  <c r="AE25" i="67"/>
  <c r="AE26" i="67"/>
  <c r="AE27" i="67"/>
  <c r="AE28" i="67"/>
  <c r="AE29" i="67"/>
  <c r="AE30" i="67"/>
  <c r="AE31" i="67"/>
  <c r="AB8" i="67"/>
  <c r="AB9" i="67"/>
  <c r="AB10" i="67"/>
  <c r="AB11" i="67"/>
  <c r="AB12" i="67"/>
  <c r="AB13" i="67"/>
  <c r="AB14" i="67"/>
  <c r="AB15" i="67"/>
  <c r="AB16" i="67"/>
  <c r="AB17" i="67"/>
  <c r="AB18" i="67"/>
  <c r="AB19" i="67"/>
  <c r="AB20" i="67"/>
  <c r="AB21" i="67"/>
  <c r="AB22" i="67"/>
  <c r="AB23" i="67"/>
  <c r="AB24" i="67"/>
  <c r="AB25" i="67"/>
  <c r="AB26" i="67"/>
  <c r="AB27" i="67"/>
  <c r="AB28" i="67"/>
  <c r="AB29" i="67"/>
  <c r="AB30" i="67"/>
  <c r="AB31" i="67"/>
  <c r="Y8" i="67"/>
  <c r="Y9" i="67"/>
  <c r="Y10" i="67"/>
  <c r="Y11" i="67"/>
  <c r="Y12" i="67"/>
  <c r="Y13" i="67"/>
  <c r="Y14" i="67"/>
  <c r="Y15" i="67"/>
  <c r="Y16" i="67"/>
  <c r="Y17" i="67"/>
  <c r="Y18" i="67"/>
  <c r="Y19" i="67"/>
  <c r="Y20" i="67"/>
  <c r="Y21" i="67"/>
  <c r="Y22" i="67"/>
  <c r="Y23" i="67"/>
  <c r="Y24" i="67"/>
  <c r="Y25" i="67"/>
  <c r="Y26" i="67"/>
  <c r="Y27" i="67"/>
  <c r="Y28" i="67"/>
  <c r="Y29" i="67"/>
  <c r="Y30" i="67"/>
  <c r="Y31" i="67"/>
  <c r="V8" i="67"/>
  <c r="V9" i="67"/>
  <c r="V10" i="67"/>
  <c r="V11" i="67"/>
  <c r="V12" i="67"/>
  <c r="V13" i="67"/>
  <c r="V14" i="67"/>
  <c r="V15" i="67"/>
  <c r="V16" i="67"/>
  <c r="V17" i="67"/>
  <c r="V18" i="67"/>
  <c r="V19" i="67"/>
  <c r="V20" i="67"/>
  <c r="V21" i="67"/>
  <c r="V22" i="67"/>
  <c r="V23" i="67"/>
  <c r="V24" i="67"/>
  <c r="V25" i="67"/>
  <c r="V26" i="67"/>
  <c r="V27" i="67"/>
  <c r="V28" i="67"/>
  <c r="V29" i="67"/>
  <c r="V30" i="67"/>
  <c r="V31" i="67"/>
  <c r="S8" i="67"/>
  <c r="S9" i="67"/>
  <c r="S10" i="67"/>
  <c r="S11" i="67"/>
  <c r="S12" i="67"/>
  <c r="S13" i="67"/>
  <c r="S14" i="67"/>
  <c r="S15" i="67"/>
  <c r="S16" i="67"/>
  <c r="S17" i="67"/>
  <c r="S18" i="67"/>
  <c r="S19" i="67"/>
  <c r="S20" i="67"/>
  <c r="S21" i="67"/>
  <c r="S22" i="67"/>
  <c r="S23" i="67"/>
  <c r="S24" i="67"/>
  <c r="S25" i="67"/>
  <c r="S26" i="67"/>
  <c r="S27" i="67"/>
  <c r="S28" i="67"/>
  <c r="S29" i="67"/>
  <c r="S30" i="67"/>
  <c r="S31" i="67"/>
  <c r="P8" i="67"/>
  <c r="P9" i="67"/>
  <c r="P10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30" i="67"/>
  <c r="P31" i="67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27" i="67"/>
  <c r="M28" i="67"/>
  <c r="M29" i="67"/>
  <c r="M30" i="67"/>
  <c r="M31" i="67"/>
  <c r="J8" i="67"/>
  <c r="J9" i="67"/>
  <c r="J10" i="67"/>
  <c r="J11" i="67"/>
  <c r="J12" i="67"/>
  <c r="J13" i="67"/>
  <c r="J14" i="67"/>
  <c r="J15" i="67"/>
  <c r="J16" i="67"/>
  <c r="J17" i="67"/>
  <c r="J18" i="67"/>
  <c r="J19" i="67"/>
  <c r="J20" i="67"/>
  <c r="J21" i="67"/>
  <c r="J22" i="67"/>
  <c r="J23" i="67"/>
  <c r="J24" i="67"/>
  <c r="J25" i="67"/>
  <c r="J26" i="67"/>
  <c r="J27" i="67"/>
  <c r="J28" i="67"/>
  <c r="J29" i="67"/>
  <c r="J30" i="67"/>
  <c r="J31" i="67"/>
  <c r="G8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AD8" i="67"/>
  <c r="AD9" i="67"/>
  <c r="AD10" i="67"/>
  <c r="AD11" i="67"/>
  <c r="AD12" i="67"/>
  <c r="AD13" i="67"/>
  <c r="AD14" i="67"/>
  <c r="AD15" i="67"/>
  <c r="AD16" i="67"/>
  <c r="AD17" i="67"/>
  <c r="AD18" i="67"/>
  <c r="AD19" i="67"/>
  <c r="AD20" i="67"/>
  <c r="AD21" i="67"/>
  <c r="AD22" i="67"/>
  <c r="AD23" i="67"/>
  <c r="AD24" i="67"/>
  <c r="AD25" i="67"/>
  <c r="AD26" i="67"/>
  <c r="AD27" i="67"/>
  <c r="AD28" i="67"/>
  <c r="AD29" i="67"/>
  <c r="AD30" i="67"/>
  <c r="AD31" i="67"/>
  <c r="AD5" i="67"/>
  <c r="AC5" i="67"/>
  <c r="AD6" i="67"/>
  <c r="AA8" i="67"/>
  <c r="AA9" i="67"/>
  <c r="AA10" i="67"/>
  <c r="AA11" i="67"/>
  <c r="AA12" i="67"/>
  <c r="AA13" i="67"/>
  <c r="AA14" i="67"/>
  <c r="AA15" i="67"/>
  <c r="AA16" i="67"/>
  <c r="AA17" i="67"/>
  <c r="AA18" i="67"/>
  <c r="AA19" i="67"/>
  <c r="AA20" i="67"/>
  <c r="AA21" i="67"/>
  <c r="AA22" i="67"/>
  <c r="AA23" i="67"/>
  <c r="AA24" i="67"/>
  <c r="AA25" i="67"/>
  <c r="AA26" i="67"/>
  <c r="AA27" i="67"/>
  <c r="AA28" i="67"/>
  <c r="AA29" i="67"/>
  <c r="AA30" i="67"/>
  <c r="AA31" i="67"/>
  <c r="AA5" i="67"/>
  <c r="Z5" i="67"/>
  <c r="AA6" i="67"/>
  <c r="X8" i="67"/>
  <c r="X9" i="67"/>
  <c r="X10" i="67"/>
  <c r="X11" i="67"/>
  <c r="X12" i="67"/>
  <c r="X13" i="67"/>
  <c r="X14" i="67"/>
  <c r="X15" i="67"/>
  <c r="X16" i="67"/>
  <c r="X17" i="67"/>
  <c r="X18" i="67"/>
  <c r="X19" i="67"/>
  <c r="X20" i="67"/>
  <c r="X21" i="67"/>
  <c r="X22" i="67"/>
  <c r="X23" i="67"/>
  <c r="X24" i="67"/>
  <c r="X25" i="67"/>
  <c r="X26" i="67"/>
  <c r="X27" i="67"/>
  <c r="X28" i="67"/>
  <c r="X29" i="67"/>
  <c r="X30" i="67"/>
  <c r="X31" i="67"/>
  <c r="X5" i="67"/>
  <c r="W5" i="67"/>
  <c r="X6" i="67"/>
  <c r="U8" i="67"/>
  <c r="U9" i="67"/>
  <c r="U10" i="67"/>
  <c r="U11" i="67"/>
  <c r="U12" i="67"/>
  <c r="U13" i="67"/>
  <c r="U14" i="67"/>
  <c r="U15" i="67"/>
  <c r="U16" i="67"/>
  <c r="U17" i="67"/>
  <c r="U18" i="67"/>
  <c r="U19" i="67"/>
  <c r="U20" i="67"/>
  <c r="U21" i="67"/>
  <c r="U22" i="67"/>
  <c r="U23" i="67"/>
  <c r="U24" i="67"/>
  <c r="U25" i="67"/>
  <c r="U26" i="67"/>
  <c r="U27" i="67"/>
  <c r="U28" i="67"/>
  <c r="U29" i="67"/>
  <c r="U30" i="67"/>
  <c r="U31" i="67"/>
  <c r="U5" i="67"/>
  <c r="T5" i="67"/>
  <c r="U6" i="67"/>
  <c r="R8" i="67"/>
  <c r="R9" i="67"/>
  <c r="R10" i="67"/>
  <c r="R11" i="67"/>
  <c r="R12" i="67"/>
  <c r="R13" i="67"/>
  <c r="R14" i="67"/>
  <c r="R15" i="67"/>
  <c r="R16" i="67"/>
  <c r="R17" i="67"/>
  <c r="R18" i="67"/>
  <c r="R19" i="67"/>
  <c r="R20" i="67"/>
  <c r="R21" i="67"/>
  <c r="R22" i="67"/>
  <c r="R23" i="67"/>
  <c r="R24" i="67"/>
  <c r="R25" i="67"/>
  <c r="R26" i="67"/>
  <c r="R27" i="67"/>
  <c r="R28" i="67"/>
  <c r="R29" i="67"/>
  <c r="R30" i="67"/>
  <c r="R31" i="67"/>
  <c r="R5" i="67"/>
  <c r="Q5" i="67"/>
  <c r="R6" i="67"/>
  <c r="O8" i="67"/>
  <c r="O9" i="67"/>
  <c r="O10" i="67"/>
  <c r="O11" i="67"/>
  <c r="O12" i="67"/>
  <c r="O13" i="67"/>
  <c r="O14" i="67"/>
  <c r="O15" i="67"/>
  <c r="O16" i="67"/>
  <c r="O17" i="67"/>
  <c r="O18" i="67"/>
  <c r="O19" i="67"/>
  <c r="O20" i="67"/>
  <c r="O21" i="67"/>
  <c r="O22" i="67"/>
  <c r="O23" i="67"/>
  <c r="O24" i="67"/>
  <c r="O25" i="67"/>
  <c r="O26" i="67"/>
  <c r="O27" i="67"/>
  <c r="O28" i="67"/>
  <c r="O29" i="67"/>
  <c r="O30" i="67"/>
  <c r="O31" i="67"/>
  <c r="O5" i="67"/>
  <c r="N5" i="67"/>
  <c r="O6" i="67"/>
  <c r="L8" i="67"/>
  <c r="L9" i="67"/>
  <c r="L10" i="67"/>
  <c r="L11" i="67"/>
  <c r="L12" i="67"/>
  <c r="L13" i="67"/>
  <c r="L14" i="67"/>
  <c r="L15" i="67"/>
  <c r="L16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5" i="67"/>
  <c r="K5" i="67"/>
  <c r="L6" i="67"/>
  <c r="I8" i="67"/>
  <c r="I9" i="67"/>
  <c r="I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5" i="67"/>
  <c r="H5" i="67"/>
  <c r="I6" i="67"/>
  <c r="F8" i="67"/>
  <c r="F9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30" i="67"/>
  <c r="F31" i="67"/>
  <c r="F5" i="67"/>
  <c r="E5" i="67"/>
  <c r="F6" i="67"/>
  <c r="B6" i="67"/>
  <c r="AE5" i="67"/>
  <c r="AB5" i="67"/>
  <c r="Y5" i="67"/>
  <c r="V5" i="67"/>
  <c r="S5" i="67"/>
  <c r="P5" i="67"/>
  <c r="M5" i="67"/>
  <c r="J5" i="67"/>
  <c r="G5" i="67"/>
  <c r="B5" i="67"/>
  <c r="U8" i="62"/>
  <c r="U9" i="62"/>
  <c r="U10" i="62"/>
  <c r="U11" i="62"/>
  <c r="U12" i="62"/>
  <c r="U13" i="62"/>
  <c r="U14" i="62"/>
  <c r="U15" i="62"/>
  <c r="U16" i="62"/>
  <c r="U17" i="62"/>
  <c r="U19" i="62"/>
  <c r="U20" i="62"/>
  <c r="U21" i="62"/>
  <c r="U22" i="62"/>
  <c r="U23" i="62"/>
  <c r="U24" i="62"/>
  <c r="U25" i="62"/>
  <c r="U26" i="62"/>
  <c r="U27" i="62"/>
  <c r="U28" i="62"/>
  <c r="U29" i="62"/>
  <c r="U30" i="62"/>
  <c r="U31" i="62"/>
  <c r="O8" i="62"/>
  <c r="O9" i="62"/>
  <c r="O10" i="62"/>
  <c r="O11" i="62"/>
  <c r="O12" i="62"/>
  <c r="O13" i="62"/>
  <c r="O14" i="62"/>
  <c r="O15" i="62"/>
  <c r="O16" i="62"/>
  <c r="O17" i="62"/>
  <c r="O18" i="62"/>
  <c r="O19" i="62"/>
  <c r="O20" i="62"/>
  <c r="O21" i="62"/>
  <c r="O22" i="62"/>
  <c r="O23" i="62"/>
  <c r="O24" i="62"/>
  <c r="O25" i="62"/>
  <c r="O26" i="62"/>
  <c r="O27" i="62"/>
  <c r="O28" i="62"/>
  <c r="O29" i="62"/>
  <c r="O30" i="62"/>
  <c r="O31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I8" i="62"/>
  <c r="I9" i="62"/>
  <c r="I10" i="62"/>
  <c r="I11" i="62"/>
  <c r="I12" i="62"/>
  <c r="I13" i="62"/>
  <c r="I14" i="62"/>
  <c r="I15" i="62"/>
  <c r="I16" i="62"/>
  <c r="I17" i="62"/>
  <c r="I18" i="62"/>
  <c r="I19" i="62"/>
  <c r="I20" i="62"/>
  <c r="I21" i="62"/>
  <c r="I22" i="62"/>
  <c r="I23" i="62"/>
  <c r="I24" i="62"/>
  <c r="I25" i="62"/>
  <c r="I26" i="62"/>
  <c r="I27" i="62"/>
  <c r="I28" i="62"/>
  <c r="I29" i="62"/>
  <c r="I30" i="62"/>
  <c r="I31" i="62"/>
  <c r="J5" i="62"/>
  <c r="P5" i="62"/>
  <c r="S5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K5" i="62"/>
  <c r="L5" i="62"/>
  <c r="Q8" i="62"/>
  <c r="Q9" i="62"/>
  <c r="Q10" i="62"/>
  <c r="Q11" i="62"/>
  <c r="Q12" i="62"/>
  <c r="Q13" i="62"/>
  <c r="Q14" i="62"/>
  <c r="Q15" i="62"/>
  <c r="Q16" i="62"/>
  <c r="Q17" i="62"/>
  <c r="Q18" i="62"/>
  <c r="Q19" i="62"/>
  <c r="Q20" i="62"/>
  <c r="Q21" i="62"/>
  <c r="Q22" i="62"/>
  <c r="Q23" i="62"/>
  <c r="Q24" i="62"/>
  <c r="Q25" i="62"/>
  <c r="Q26" i="62"/>
  <c r="Q27" i="62"/>
  <c r="Q28" i="62"/>
  <c r="Q29" i="62"/>
  <c r="Q30" i="62"/>
  <c r="Q31" i="62"/>
  <c r="Q5" i="62"/>
  <c r="R5" i="62"/>
  <c r="T8" i="62"/>
  <c r="T9" i="62"/>
  <c r="T10" i="62"/>
  <c r="T11" i="62"/>
  <c r="T12" i="62"/>
  <c r="T13" i="62"/>
  <c r="T14" i="62"/>
  <c r="T15" i="62"/>
  <c r="T16" i="62"/>
  <c r="T17" i="62"/>
  <c r="T18" i="62"/>
  <c r="T19" i="62"/>
  <c r="T20" i="62"/>
  <c r="T21" i="62"/>
  <c r="T22" i="62"/>
  <c r="T23" i="62"/>
  <c r="T24" i="62"/>
  <c r="T25" i="62"/>
  <c r="T26" i="62"/>
  <c r="T27" i="62"/>
  <c r="T28" i="62"/>
  <c r="T29" i="62"/>
  <c r="T30" i="62"/>
  <c r="T31" i="62"/>
  <c r="T5" i="62"/>
  <c r="U5" i="62"/>
  <c r="K6" i="62"/>
  <c r="Q6" i="62"/>
  <c r="T6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5" i="62"/>
  <c r="G5" i="62"/>
  <c r="H6" i="62"/>
  <c r="N8" i="62"/>
  <c r="N9" i="62"/>
  <c r="N10" i="62"/>
  <c r="N11" i="62"/>
  <c r="N12" i="62"/>
  <c r="N13" i="62"/>
  <c r="N14" i="62"/>
  <c r="N15" i="62"/>
  <c r="N16" i="62"/>
  <c r="N17" i="62"/>
  <c r="N18" i="62"/>
  <c r="N19" i="62"/>
  <c r="N20" i="62"/>
  <c r="N21" i="62"/>
  <c r="N22" i="62"/>
  <c r="N23" i="62"/>
  <c r="N24" i="62"/>
  <c r="N25" i="62"/>
  <c r="N26" i="62"/>
  <c r="N27" i="62"/>
  <c r="N28" i="62"/>
  <c r="N29" i="62"/>
  <c r="N30" i="62"/>
  <c r="N31" i="62"/>
  <c r="N5" i="62"/>
  <c r="M5" i="62"/>
  <c r="N6" i="62"/>
  <c r="B6" i="62"/>
  <c r="I5" i="62"/>
  <c r="O5" i="62"/>
  <c r="B5" i="62"/>
  <c r="H10" i="60"/>
  <c r="G10" i="60"/>
  <c r="H11" i="60"/>
  <c r="G11" i="60"/>
  <c r="H12" i="60"/>
  <c r="G12" i="60"/>
  <c r="H13" i="60"/>
  <c r="G13" i="60"/>
  <c r="H14" i="60"/>
  <c r="G14" i="60"/>
  <c r="H15" i="60"/>
  <c r="G15" i="60"/>
  <c r="H16" i="60"/>
  <c r="G16" i="60"/>
  <c r="H17" i="60"/>
  <c r="G17" i="60"/>
  <c r="H18" i="60"/>
  <c r="G18" i="60"/>
  <c r="H19" i="60"/>
  <c r="G19" i="60"/>
  <c r="H20" i="60"/>
  <c r="G20" i="60"/>
  <c r="H21" i="60"/>
  <c r="G21" i="60"/>
  <c r="H22" i="60"/>
  <c r="G22" i="60"/>
  <c r="H23" i="60"/>
  <c r="G23" i="60"/>
  <c r="H24" i="60"/>
  <c r="G24" i="60"/>
  <c r="H25" i="60"/>
  <c r="G25" i="60"/>
  <c r="H26" i="60"/>
  <c r="G26" i="60"/>
  <c r="H27" i="60"/>
  <c r="G27" i="60"/>
  <c r="H28" i="60"/>
  <c r="G28" i="60"/>
  <c r="H29" i="60"/>
  <c r="G29" i="60"/>
  <c r="H30" i="60"/>
  <c r="G30" i="60"/>
  <c r="H31" i="60"/>
  <c r="G31" i="60"/>
  <c r="H32" i="60"/>
  <c r="G32" i="60"/>
  <c r="H33" i="60"/>
  <c r="G33" i="60"/>
  <c r="G7" i="60"/>
  <c r="F7" i="60"/>
  <c r="G8" i="60"/>
  <c r="K10" i="60"/>
  <c r="J10" i="60"/>
  <c r="K11" i="60"/>
  <c r="J11" i="60"/>
  <c r="K12" i="60"/>
  <c r="J12" i="60"/>
  <c r="K13" i="60"/>
  <c r="J13" i="60"/>
  <c r="K14" i="60"/>
  <c r="J14" i="60"/>
  <c r="K15" i="60"/>
  <c r="J15" i="60"/>
  <c r="K16" i="60"/>
  <c r="J16" i="60"/>
  <c r="K17" i="60"/>
  <c r="J17" i="60"/>
  <c r="K18" i="60"/>
  <c r="J18" i="60"/>
  <c r="K19" i="60"/>
  <c r="J19" i="60"/>
  <c r="K20" i="60"/>
  <c r="J20" i="60"/>
  <c r="K21" i="60"/>
  <c r="J21" i="60"/>
  <c r="K22" i="60"/>
  <c r="J22" i="60"/>
  <c r="K23" i="60"/>
  <c r="J23" i="60"/>
  <c r="K24" i="60"/>
  <c r="J24" i="60"/>
  <c r="K25" i="60"/>
  <c r="J25" i="60"/>
  <c r="K26" i="60"/>
  <c r="J26" i="60"/>
  <c r="K27" i="60"/>
  <c r="J27" i="60"/>
  <c r="K28" i="60"/>
  <c r="J28" i="60"/>
  <c r="K29" i="60"/>
  <c r="J29" i="60"/>
  <c r="K30" i="60"/>
  <c r="J30" i="60"/>
  <c r="K31" i="60"/>
  <c r="J31" i="60"/>
  <c r="K32" i="60"/>
  <c r="J32" i="60"/>
  <c r="K33" i="60"/>
  <c r="J33" i="60"/>
  <c r="J7" i="60"/>
  <c r="I7" i="60"/>
  <c r="J8" i="60"/>
  <c r="N10" i="60"/>
  <c r="N11" i="60"/>
  <c r="N12" i="60"/>
  <c r="N13" i="60"/>
  <c r="N14" i="60"/>
  <c r="N15" i="60"/>
  <c r="N16" i="60"/>
  <c r="N17" i="60"/>
  <c r="N18" i="60"/>
  <c r="N19" i="60"/>
  <c r="N20" i="60"/>
  <c r="N21" i="60"/>
  <c r="N22" i="60"/>
  <c r="N23" i="60"/>
  <c r="N24" i="60"/>
  <c r="N25" i="60"/>
  <c r="N26" i="60"/>
  <c r="N27" i="60"/>
  <c r="N28" i="60"/>
  <c r="N29" i="60"/>
  <c r="N30" i="60"/>
  <c r="N31" i="60"/>
  <c r="N32" i="60"/>
  <c r="N33" i="60"/>
  <c r="N7" i="60"/>
  <c r="M7" i="60"/>
  <c r="N8" i="60"/>
  <c r="R10" i="60"/>
  <c r="Q10" i="60"/>
  <c r="R11" i="60"/>
  <c r="Q11" i="60"/>
  <c r="R12" i="60"/>
  <c r="Q12" i="60"/>
  <c r="R13" i="60"/>
  <c r="Q13" i="60"/>
  <c r="R14" i="60"/>
  <c r="Q14" i="60"/>
  <c r="R15" i="60"/>
  <c r="Q15" i="60"/>
  <c r="R16" i="60"/>
  <c r="Q16" i="60"/>
  <c r="R17" i="60"/>
  <c r="Q17" i="60"/>
  <c r="R18" i="60"/>
  <c r="Q18" i="60"/>
  <c r="R19" i="60"/>
  <c r="Q19" i="60"/>
  <c r="R20" i="60"/>
  <c r="Q20" i="60"/>
  <c r="R21" i="60"/>
  <c r="Q21" i="60"/>
  <c r="R22" i="60"/>
  <c r="Q22" i="60"/>
  <c r="R23" i="60"/>
  <c r="Q23" i="60"/>
  <c r="R24" i="60"/>
  <c r="Q24" i="60"/>
  <c r="R25" i="60"/>
  <c r="Q25" i="60"/>
  <c r="R26" i="60"/>
  <c r="Q26" i="60"/>
  <c r="R27" i="60"/>
  <c r="Q27" i="60"/>
  <c r="R28" i="60"/>
  <c r="Q28" i="60"/>
  <c r="R29" i="60"/>
  <c r="Q29" i="60"/>
  <c r="R30" i="60"/>
  <c r="Q30" i="60"/>
  <c r="R31" i="60"/>
  <c r="Q31" i="60"/>
  <c r="R32" i="60"/>
  <c r="Q32" i="60"/>
  <c r="R33" i="60"/>
  <c r="Q33" i="60"/>
  <c r="Q7" i="60"/>
  <c r="P7" i="60"/>
  <c r="Q8" i="60"/>
  <c r="U10" i="60"/>
  <c r="T10" i="60"/>
  <c r="U11" i="60"/>
  <c r="T11" i="60"/>
  <c r="U12" i="60"/>
  <c r="T12" i="60"/>
  <c r="U13" i="60"/>
  <c r="T13" i="60"/>
  <c r="U14" i="60"/>
  <c r="T14" i="60"/>
  <c r="U15" i="60"/>
  <c r="T15" i="60"/>
  <c r="U16" i="60"/>
  <c r="T16" i="60"/>
  <c r="U17" i="60"/>
  <c r="T17" i="60"/>
  <c r="U18" i="60"/>
  <c r="T18" i="60"/>
  <c r="U19" i="60"/>
  <c r="T19" i="60"/>
  <c r="U20" i="60"/>
  <c r="T20" i="60"/>
  <c r="U21" i="60"/>
  <c r="T21" i="60"/>
  <c r="U22" i="60"/>
  <c r="T22" i="60"/>
  <c r="U23" i="60"/>
  <c r="T23" i="60"/>
  <c r="U24" i="60"/>
  <c r="T24" i="60"/>
  <c r="U25" i="60"/>
  <c r="T25" i="60"/>
  <c r="U26" i="60"/>
  <c r="T26" i="60"/>
  <c r="U27" i="60"/>
  <c r="T27" i="60"/>
  <c r="U28" i="60"/>
  <c r="T28" i="60"/>
  <c r="U29" i="60"/>
  <c r="T29" i="60"/>
  <c r="U30" i="60"/>
  <c r="T30" i="60"/>
  <c r="U31" i="60"/>
  <c r="T31" i="60"/>
  <c r="U32" i="60"/>
  <c r="T32" i="60"/>
  <c r="U33" i="60"/>
  <c r="T33" i="60"/>
  <c r="T7" i="60"/>
  <c r="S7" i="60"/>
  <c r="T8" i="60"/>
  <c r="X10" i="60"/>
  <c r="W10" i="60"/>
  <c r="X11" i="60"/>
  <c r="W11" i="60"/>
  <c r="X12" i="60"/>
  <c r="W12" i="60"/>
  <c r="X13" i="60"/>
  <c r="W13" i="60"/>
  <c r="X14" i="60"/>
  <c r="W14" i="60"/>
  <c r="X15" i="60"/>
  <c r="W15" i="60"/>
  <c r="X16" i="60"/>
  <c r="W16" i="60"/>
  <c r="X17" i="60"/>
  <c r="W17" i="60"/>
  <c r="X18" i="60"/>
  <c r="W18" i="60"/>
  <c r="X19" i="60"/>
  <c r="W19" i="60"/>
  <c r="X20" i="60"/>
  <c r="W20" i="60"/>
  <c r="X21" i="60"/>
  <c r="W21" i="60"/>
  <c r="X22" i="60"/>
  <c r="W22" i="60"/>
  <c r="X23" i="60"/>
  <c r="W23" i="60"/>
  <c r="X24" i="60"/>
  <c r="W24" i="60"/>
  <c r="X25" i="60"/>
  <c r="W25" i="60"/>
  <c r="X26" i="60"/>
  <c r="W26" i="60"/>
  <c r="X27" i="60"/>
  <c r="W27" i="60"/>
  <c r="X28" i="60"/>
  <c r="W28" i="60"/>
  <c r="X29" i="60"/>
  <c r="W29" i="60"/>
  <c r="X30" i="60"/>
  <c r="W30" i="60"/>
  <c r="X31" i="60"/>
  <c r="W31" i="60"/>
  <c r="X32" i="60"/>
  <c r="W32" i="60"/>
  <c r="X33" i="60"/>
  <c r="W33" i="60"/>
  <c r="W7" i="60"/>
  <c r="V7" i="60"/>
  <c r="W8" i="60"/>
  <c r="AH30" i="60"/>
  <c r="AG30" i="60"/>
  <c r="AH13" i="60"/>
  <c r="AG13" i="60"/>
  <c r="AH18" i="60"/>
  <c r="AG18" i="60"/>
  <c r="AH23" i="60"/>
  <c r="AG23" i="60"/>
  <c r="AH27" i="60"/>
  <c r="AG27" i="60"/>
  <c r="AH28" i="60"/>
  <c r="AG28" i="60"/>
  <c r="AH31" i="60"/>
  <c r="AG31" i="60"/>
  <c r="AH32" i="60"/>
  <c r="AG32" i="60"/>
  <c r="AH33" i="60"/>
  <c r="AG33" i="60"/>
  <c r="AH12" i="60"/>
  <c r="AG12" i="60"/>
  <c r="AH14" i="60"/>
  <c r="AG14" i="60"/>
  <c r="AH17" i="60"/>
  <c r="AG17" i="60"/>
  <c r="AH19" i="60"/>
  <c r="AG19" i="60"/>
  <c r="AH10" i="60"/>
  <c r="AG10" i="60"/>
  <c r="AH11" i="60"/>
  <c r="AG11" i="60"/>
  <c r="AH15" i="60"/>
  <c r="AG15" i="60"/>
  <c r="AH16" i="60"/>
  <c r="AG16" i="60"/>
  <c r="AH20" i="60"/>
  <c r="AG20" i="60"/>
  <c r="AH21" i="60"/>
  <c r="AG21" i="60"/>
  <c r="AH22" i="60"/>
  <c r="AG22" i="60"/>
  <c r="AH24" i="60"/>
  <c r="AG24" i="60"/>
  <c r="AH25" i="60"/>
  <c r="AG25" i="60"/>
  <c r="AH26" i="60"/>
  <c r="AG26" i="60"/>
  <c r="AH29" i="60"/>
  <c r="AG29" i="60"/>
  <c r="AG7" i="60"/>
  <c r="AF7" i="60"/>
  <c r="AG8" i="60"/>
  <c r="B8" i="60"/>
  <c r="AH7" i="60"/>
  <c r="H7" i="60"/>
  <c r="K7" i="60"/>
  <c r="O7" i="60"/>
  <c r="R7" i="60"/>
  <c r="U7" i="60"/>
  <c r="X7" i="60"/>
  <c r="B7" i="6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<sst xmlns="http://schemas.openxmlformats.org/spreadsheetml/2006/main" count="472" uniqueCount="250">
  <si>
    <t>ANSWER</t>
  </si>
  <si>
    <t>Answer Status</t>
  </si>
  <si>
    <t>Correct</t>
  </si>
  <si>
    <t>Wrong</t>
  </si>
  <si>
    <t>Answer Status Q01</t>
  </si>
  <si>
    <t>Answer Status Q02</t>
  </si>
  <si>
    <t>Answer Status Q03</t>
  </si>
  <si>
    <t>Answer Status Q04</t>
  </si>
  <si>
    <t>% Attempted</t>
  </si>
  <si>
    <t>% Correct</t>
  </si>
  <si>
    <t>Answer Status Q05</t>
  </si>
  <si>
    <t>Answer Status Q06</t>
  </si>
  <si>
    <t>IF</t>
  </si>
  <si>
    <t>Y</t>
  </si>
  <si>
    <t>N</t>
  </si>
  <si>
    <t>ID</t>
  </si>
  <si>
    <t>YesNo</t>
  </si>
  <si>
    <t>Q#</t>
  </si>
  <si>
    <t>Answer Status Q07</t>
  </si>
  <si>
    <t>Fill in Empty Cells (Gray Borders) with Correct Formulas [Expand Hidden Columns for ANSWERS]</t>
  </si>
  <si>
    <t>AND</t>
  </si>
  <si>
    <t>OR</t>
  </si>
  <si>
    <t>IFERROR</t>
  </si>
  <si>
    <t>Vendor Name</t>
  </si>
  <si>
    <t>Jig Is Up</t>
  </si>
  <si>
    <t>A Lone Wolf</t>
  </si>
  <si>
    <t>A Guinea Pig</t>
  </si>
  <si>
    <t>Tough It Out</t>
  </si>
  <si>
    <t>Let Her Rip</t>
  </si>
  <si>
    <t>Cup Of Joe</t>
  </si>
  <si>
    <t>Answer Status Q08</t>
  </si>
  <si>
    <t>Contractor Name</t>
  </si>
  <si>
    <t>Jordan Davila</t>
  </si>
  <si>
    <t>Lina Bond</t>
  </si>
  <si>
    <t>Lessie Owen</t>
  </si>
  <si>
    <t>Angie Clarke</t>
  </si>
  <si>
    <t>Rhonda Gay</t>
  </si>
  <si>
    <t>Geneva Cruz</t>
  </si>
  <si>
    <t>Diego Prince</t>
  </si>
  <si>
    <t>Jared Oconnell</t>
  </si>
  <si>
    <t>Sammy Sims</t>
  </si>
  <si>
    <t>Ashlee Potter</t>
  </si>
  <si>
    <t>Cathryn Davis</t>
  </si>
  <si>
    <t>Fidel Andrade</t>
  </si>
  <si>
    <t>Morton Cherry</t>
  </si>
  <si>
    <t>Delmer Hood</t>
  </si>
  <si>
    <t>Toni Raymond</t>
  </si>
  <si>
    <t>Francis Chase</t>
  </si>
  <si>
    <t>Isidro Dyer</t>
  </si>
  <si>
    <t>Rhett Bailey</t>
  </si>
  <si>
    <t>Greg Key</t>
  </si>
  <si>
    <t>Dewitt Cantu</t>
  </si>
  <si>
    <t>Start Date</t>
  </si>
  <si>
    <t>Start Year</t>
  </si>
  <si>
    <t>Madeline Max</t>
  </si>
  <si>
    <t>Giuseppe Mas</t>
  </si>
  <si>
    <t>Sterling Matt</t>
  </si>
  <si>
    <t>Quick Draw</t>
  </si>
  <si>
    <t>Keep Truckin</t>
  </si>
  <si>
    <t>Mariano Han</t>
  </si>
  <si>
    <t>Drive Nuts</t>
  </si>
  <si>
    <t>Back Square</t>
  </si>
  <si>
    <t>Quick Dirty</t>
  </si>
  <si>
    <t>End Date</t>
  </si>
  <si>
    <t>Start Year is 2018 (Y/N)</t>
  </si>
  <si>
    <t>Start Year is 2018 (Y/N) ANS</t>
  </si>
  <si>
    <t>Has End Date (Y/N)</t>
  </si>
  <si>
    <t>Has End Date (Y/N) ANS</t>
  </si>
  <si>
    <t>Start Date is After 3/6/18 (Y/N)</t>
  </si>
  <si>
    <t>Start Date is After 3/6/18 (Y/N) ANS</t>
  </si>
  <si>
    <t>Vendor is "Jig Is Up" AND Start Year is 2018 (TRUE/FALSE)</t>
  </si>
  <si>
    <t>Vendor is "Jig Is Up" OR Start Year is 2018 (TRUE/FALSE)</t>
  </si>
  <si>
    <t>Vendor is "Jig Is Up" AND Start Year is 2018 (TRUE/FALSE) ANS</t>
  </si>
  <si>
    <t>Vendor is "Jig Is Up" OR Start Year is 2018 (TRUE/FALSE) ANS</t>
  </si>
  <si>
    <t>B</t>
  </si>
  <si>
    <t>D</t>
  </si>
  <si>
    <t>C</t>
  </si>
  <si>
    <t>A</t>
  </si>
  <si>
    <t>Contractor Grade</t>
  </si>
  <si>
    <t>Vendor Grade (With #N/A Errors)</t>
  </si>
  <si>
    <t>Vendor Grade ("Invalid" Instead of #N/A Errors)</t>
  </si>
  <si>
    <t>Vendor Grade ("Invalid" Instead of #N/A Errors) ANS</t>
  </si>
  <si>
    <t>IF and AND</t>
  </si>
  <si>
    <t>Contractor Day Rate is Between 250 and 750 (TRUE/FALSE)</t>
  </si>
  <si>
    <t>Contractor Day Rate is Between 250 and 750 (TRUE/FALSE) ANS</t>
  </si>
  <si>
    <t>Contractor Day Rate is Between 250 and 750 (Y/N)</t>
  </si>
  <si>
    <t>Contractor Day Rate is Between 250 and 750 (Y/N) ANS</t>
  </si>
  <si>
    <t>IF and OR</t>
  </si>
  <si>
    <t>If Grade A OR B, Then "Great", Otherwise "OK"</t>
  </si>
  <si>
    <t>If Grade A OR B, Then "Great", Otherwise "OK" ANS</t>
  </si>
  <si>
    <t>Nested IF</t>
  </si>
  <si>
    <t>IF, AND, and OR</t>
  </si>
  <si>
    <t>If Vendor is "Jig Is Up" Or "Cup Of Joe", And Grade is "A" or "B", And Contractor Hourly Rate is Less Than $800, Then "HIRE", Otherwise "DO NOT HIRE"</t>
  </si>
  <si>
    <t>If Vendor is "Jig Is Up" Or "Cup Of Joe", And Grade is "A" or "B", And Contractor Hourly Rate is Less Than $800, Then "HIRE", Otherwise "DO NOT HIRE" ANS</t>
  </si>
  <si>
    <t>Answer Status Q09</t>
  </si>
  <si>
    <t>Excel Formula Deep Dive Master Class</t>
  </si>
  <si>
    <t>Learn 45+ Functions, Fix Broken Formulas, and Calculate Anything</t>
  </si>
  <si>
    <t>Five Missing Keys to Formula Proficiency</t>
  </si>
  <si>
    <t>Formula Vs. Function</t>
  </si>
  <si>
    <r>
      <rPr>
        <b/>
        <sz val="13"/>
        <color rgb="FF636568"/>
        <rFont val="Calibri"/>
        <family val="2"/>
      </rPr>
      <t xml:space="preserve">Formula </t>
    </r>
    <r>
      <rPr>
        <sz val="13"/>
        <color rgb="FF636568"/>
        <rFont val="Calibri"/>
        <family val="2"/>
      </rPr>
      <t>= an expression which performs any calculation within a spreadsheet.</t>
    </r>
  </si>
  <si>
    <t>Syntax (Building blocks to speak the language of Excel Formulas)</t>
  </si>
  <si>
    <t>Arithmetic Operators</t>
  </si>
  <si>
    <t>Comparison Operators</t>
  </si>
  <si>
    <t>Other Symbols</t>
  </si>
  <si>
    <t>+</t>
  </si>
  <si>
    <t>plus</t>
  </si>
  <si>
    <t>&lt;</t>
  </si>
  <si>
    <t>less than</t>
  </si>
  <si>
    <t>,</t>
  </si>
  <si>
    <t>comma</t>
  </si>
  <si>
    <t>must be used to separate arguments within a function</t>
  </si>
  <si>
    <t>-</t>
  </si>
  <si>
    <t>minus</t>
  </si>
  <si>
    <t>&gt;</t>
  </si>
  <si>
    <t>greater than</t>
  </si>
  <si>
    <t>( and )</t>
  </si>
  <si>
    <t>parentheses</t>
  </si>
  <si>
    <t>must be used with every single function</t>
  </si>
  <si>
    <t>*</t>
  </si>
  <si>
    <t>multiply</t>
  </si>
  <si>
    <t>&lt;=</t>
  </si>
  <si>
    <t>less than or equal to</t>
  </si>
  <si>
    <t>can also be used to force order of operations (PEMDAS)</t>
  </si>
  <si>
    <t>divide</t>
  </si>
  <si>
    <t>&gt;=</t>
  </si>
  <si>
    <t>greater than or equal to</t>
  </si>
  <si>
    <t>" and "</t>
  </si>
  <si>
    <t>double quotes</t>
  </si>
  <si>
    <t>must be used to reference text inside of a formula</t>
  </si>
  <si>
    <t>^</t>
  </si>
  <si>
    <t>exponent</t>
  </si>
  <si>
    <t>=</t>
  </si>
  <si>
    <t>equal to</t>
  </si>
  <si>
    <t>$</t>
  </si>
  <si>
    <t>dollar sign</t>
  </si>
  <si>
    <t>can be used to anchor a cell reference (when formula is copied and pasted)</t>
  </si>
  <si>
    <t>&lt;&gt;</t>
  </si>
  <si>
    <t>NOT equal to</t>
  </si>
  <si>
    <t>&amp;</t>
  </si>
  <si>
    <t>ampersand</t>
  </si>
  <si>
    <t>concatenates or joins characters together</t>
  </si>
  <si>
    <t>:</t>
  </si>
  <si>
    <t>colon</t>
  </si>
  <si>
    <t>must be used to indicate a range of cells (i.e. A1:A5 means A1 through A5)</t>
  </si>
  <si>
    <t>apostrophe</t>
  </si>
  <si>
    <t>can be used in front of a formula to show formula text (instead of calculating)</t>
  </si>
  <si>
    <t>Example: =IF(5+5=10,”blah true”,”blah false”)</t>
  </si>
  <si>
    <t>Helper Columns (Simplify calculations into bite-sized chunks)</t>
  </si>
  <si>
    <t>Help - Leverage the ExcelShir Help Hierarchy</t>
  </si>
  <si>
    <t>a)</t>
  </si>
  <si>
    <r>
      <rPr>
        <b/>
        <u/>
        <sz val="13"/>
        <color rgb="FF636568"/>
        <rFont val="Calibri"/>
        <family val="2"/>
      </rPr>
      <t>B</t>
    </r>
    <r>
      <rPr>
        <sz val="13"/>
        <color rgb="FF636568"/>
        <rFont val="Calibri"/>
        <family val="2"/>
      </rPr>
      <t>uilt-In help articles</t>
    </r>
  </si>
  <si>
    <t>b)</t>
  </si>
  <si>
    <r>
      <rPr>
        <b/>
        <u/>
        <sz val="13"/>
        <color rgb="FF636568"/>
        <rFont val="Calibri"/>
        <family val="2"/>
      </rPr>
      <t>I</t>
    </r>
    <r>
      <rPr>
        <sz val="13"/>
        <color rgb="FF636568"/>
        <rFont val="Calibri"/>
        <family val="2"/>
      </rPr>
      <t>nternet (i.e. online forums)</t>
    </r>
  </si>
  <si>
    <t>c)</t>
  </si>
  <si>
    <r>
      <rPr>
        <b/>
        <u/>
        <sz val="13"/>
        <color rgb="FF636568"/>
        <rFont val="Calibri"/>
        <family val="2"/>
      </rPr>
      <t>P</t>
    </r>
    <r>
      <rPr>
        <sz val="13"/>
        <color rgb="FF636568"/>
        <rFont val="Calibri"/>
        <family val="2"/>
      </rPr>
      <t>hone a friend or colleague</t>
    </r>
  </si>
  <si>
    <t>d)</t>
  </si>
  <si>
    <r>
      <rPr>
        <b/>
        <u/>
        <sz val="13"/>
        <color rgb="FF636568"/>
        <rFont val="Calibri"/>
        <family val="2"/>
      </rPr>
      <t>E</t>
    </r>
    <r>
      <rPr>
        <sz val="13"/>
        <color rgb="FF636568"/>
        <rFont val="Calibri"/>
        <family val="2"/>
      </rPr>
      <t>xpert - find an expert (e.g. clarity.fm)</t>
    </r>
  </si>
  <si>
    <r>
      <rPr>
        <b/>
        <sz val="13"/>
        <color rgb="FF177390"/>
        <rFont val="Calibri"/>
        <family val="2"/>
      </rPr>
      <t>Memory Trick:</t>
    </r>
    <r>
      <rPr>
        <sz val="13"/>
        <color rgb="FF177390"/>
        <rFont val="Calibri"/>
        <family val="2"/>
      </rPr>
      <t xml:space="preserve"> "Need help? Type </t>
    </r>
    <r>
      <rPr>
        <b/>
        <u/>
        <sz val="13"/>
        <color rgb="FF177390"/>
        <rFont val="Calibri"/>
        <family val="2"/>
      </rPr>
      <t>BIPE</t>
    </r>
    <r>
      <rPr>
        <sz val="13"/>
        <color rgb="FF177390"/>
        <rFont val="Calibri"/>
        <family val="2"/>
      </rPr>
      <t>!")</t>
    </r>
  </si>
  <si>
    <t>Module 2 - Date &amp; Time Functions, and Logical Functions</t>
  </si>
  <si>
    <t>REFERENCE) Formula Fundamentals</t>
  </si>
  <si>
    <t>A1) Date &amp; Time Functions</t>
  </si>
  <si>
    <t>B2) Logical Functions</t>
  </si>
  <si>
    <t>BONUS 1) More Date &amp; Time Functions</t>
  </si>
  <si>
    <t>BONUS 2) More Logical Functions</t>
  </si>
  <si>
    <t>Work Start Date</t>
  </si>
  <si>
    <t>Work Start Time</t>
  </si>
  <si>
    <t>Start Date Year</t>
  </si>
  <si>
    <t>Start Date Year ANS</t>
  </si>
  <si>
    <t>Start Date Month</t>
  </si>
  <si>
    <t>Start Date Month ANS</t>
  </si>
  <si>
    <t>Start Date Day</t>
  </si>
  <si>
    <t>Start Date Day ANS</t>
  </si>
  <si>
    <t>3 Months and 5 Days Before Start Date</t>
  </si>
  <si>
    <t>3 Months and 5 Days Before Start Date ANS</t>
  </si>
  <si>
    <t>Start Date Weekday (1-7)</t>
  </si>
  <si>
    <t>Start Date Weekday (1-7) ANS</t>
  </si>
  <si>
    <t>Start Time Hour (1-24) ANS</t>
  </si>
  <si>
    <t>Start Time Minute</t>
  </si>
  <si>
    <t>Start Time Minute ANS</t>
  </si>
  <si>
    <t>Start Time Second</t>
  </si>
  <si>
    <t>Start Time Second ANS</t>
  </si>
  <si>
    <t>2 Hours and 10 Minutes After Start Time</t>
  </si>
  <si>
    <t>2 Hours and 10 Minutes After Start Time ANS</t>
  </si>
  <si>
    <t>WEEKDAY</t>
  </si>
  <si>
    <t>HOUR</t>
  </si>
  <si>
    <t>MINUTE</t>
  </si>
  <si>
    <t>SECOND</t>
  </si>
  <si>
    <t>TIME</t>
  </si>
  <si>
    <t>YEAR</t>
  </si>
  <si>
    <t>MONTH</t>
  </si>
  <si>
    <t>DAY</t>
  </si>
  <si>
    <t>DATE</t>
  </si>
  <si>
    <t>Work End Date</t>
  </si>
  <si>
    <t>"-" (Minus) operator</t>
  </si>
  <si>
    <t>"/" (Divide) operator</t>
  </si>
  <si>
    <t>DATEDIF</t>
  </si>
  <si>
    <t>"&amp;" (Ampersand) Symbol</t>
  </si>
  <si>
    <t>Days of Work (End Date MINUS Start Date)</t>
  </si>
  <si>
    <t>Years of Work (Days DIVIDED by 365.25)</t>
  </si>
  <si>
    <t>Years of Work ("Y")</t>
  </si>
  <si>
    <t>Months of Work ("M")</t>
  </si>
  <si>
    <t>Days of Work ("D")</t>
  </si>
  <si>
    <t>Remaining Months of Work ("YM")</t>
  </si>
  <si>
    <t>Remaining Days of Work ("MD")</t>
  </si>
  <si>
    <t>Duration of Work ("x years, x months, x days")</t>
  </si>
  <si>
    <t>Days of Work (End Date MINUS Start Date) ANS</t>
  </si>
  <si>
    <t>Years of Work (Days DIVIDED by 365.25) ANS</t>
  </si>
  <si>
    <t>Years of Work ("Y") ANS</t>
  </si>
  <si>
    <t>Months of Work ("M") ANS</t>
  </si>
  <si>
    <t>Days of Work ("D") ANS</t>
  </si>
  <si>
    <t>Remaining Months of Work ("YM") ANS</t>
  </si>
  <si>
    <t>Remaining Days of Work ("MD") ANS</t>
  </si>
  <si>
    <t>Duration of Work ("x years, x months, x days") ANS</t>
  </si>
  <si>
    <t>DATEDIF(start_date,end_date,unit)</t>
  </si>
  <si>
    <t>Years of Work ("Y") - Same as Q#3</t>
  </si>
  <si>
    <t>Years of Work ("Y") - Same as Q#3 ANS</t>
  </si>
  <si>
    <t>NOT</t>
  </si>
  <si>
    <t>Vendor is NOT "Jig Is Up" (TRUE/FALSE)</t>
  </si>
  <si>
    <t>Vendor is NOT "Jig Is Up" (TRUE/FALSE) ANS</t>
  </si>
  <si>
    <t>Vendor is Not Equal to "Jig Is Up" (TRUE/FALSE)</t>
  </si>
  <si>
    <t>Vendor is Not Equal to "Jig Is Up" (TRUE/FALSE) ANS</t>
  </si>
  <si>
    <t>Vendor is "Jig Is Up" (Y/N)</t>
  </si>
  <si>
    <t>Vendor is "Jig Is Up" (Y/N) ANS</t>
  </si>
  <si>
    <t>If Grade A Then "10% Discount", If Grade B Then "5% Discount", Otherwise "No Discount"</t>
  </si>
  <si>
    <t>If Grade A Then "10% Discount", If Grade B Then "5% Discount", Otherwise "No Discount" ANS</t>
  </si>
  <si>
    <t>Formula Vs. Function and FROC (the 4 possible elements of a formula)</t>
  </si>
  <si>
    <r>
      <rPr>
        <b/>
        <sz val="13"/>
        <color rgb="FF636568"/>
        <rFont val="Calibri"/>
        <family val="2"/>
      </rPr>
      <t xml:space="preserve">Function </t>
    </r>
    <r>
      <rPr>
        <sz val="13"/>
        <color rgb="FF636568"/>
        <rFont val="Calibri"/>
        <family val="2"/>
      </rPr>
      <t>= a predefined type of calculation within a formula.</t>
    </r>
  </si>
  <si>
    <t>FROC (the 4 possible elements of a formula)</t>
  </si>
  <si>
    <r>
      <t>F</t>
    </r>
    <r>
      <rPr>
        <sz val="13"/>
        <color rgb="FF636568"/>
        <rFont val="Calibri"/>
        <family val="2"/>
      </rPr>
      <t xml:space="preserve">unction = a predefined type of calculation within a formula. </t>
    </r>
    <r>
      <rPr>
        <i/>
        <sz val="11"/>
        <color rgb="FF636568"/>
        <rFont val="Calibri"/>
        <family val="2"/>
      </rPr>
      <t>(e.g. SUM, AVERAGE, COUNT, etc.)</t>
    </r>
  </si>
  <si>
    <r>
      <rPr>
        <b/>
        <u/>
        <sz val="13"/>
        <color rgb="FF636568"/>
        <rFont val="Calibri"/>
        <family val="2"/>
      </rPr>
      <t>R</t>
    </r>
    <r>
      <rPr>
        <sz val="13"/>
        <color rgb="FF636568"/>
        <rFont val="Calibri"/>
        <family val="2"/>
      </rPr>
      <t>eference = a naming system for identifying a cell's location.</t>
    </r>
    <r>
      <rPr>
        <i/>
        <sz val="13"/>
        <color rgb="FF636568"/>
        <rFont val="Calibri"/>
        <family val="2"/>
      </rPr>
      <t xml:space="preserve"> </t>
    </r>
    <r>
      <rPr>
        <i/>
        <sz val="11"/>
        <color rgb="FF636568"/>
        <rFont val="Calibri"/>
        <family val="2"/>
      </rPr>
      <t>(e.g. A1, B5, G6, etc.)</t>
    </r>
  </si>
  <si>
    <r>
      <rPr>
        <b/>
        <u/>
        <sz val="13"/>
        <color rgb="FF636568"/>
        <rFont val="Calibri"/>
        <family val="2"/>
      </rPr>
      <t>O</t>
    </r>
    <r>
      <rPr>
        <sz val="13"/>
        <color rgb="FF636568"/>
        <rFont val="Calibri"/>
        <family val="2"/>
      </rPr>
      <t>perator = a type of calculation to perform on the elements of a formula.</t>
    </r>
    <r>
      <rPr>
        <i/>
        <sz val="13"/>
        <color rgb="FF636568"/>
        <rFont val="Calibri"/>
        <family val="2"/>
      </rPr>
      <t xml:space="preserve"> </t>
    </r>
    <r>
      <rPr>
        <i/>
        <sz val="11"/>
        <color rgb="FF636568"/>
        <rFont val="Calibri"/>
        <family val="2"/>
      </rPr>
      <t>(e.g. +, -, &lt;, &gt;, etc.)</t>
    </r>
  </si>
  <si>
    <r>
      <rPr>
        <b/>
        <u/>
        <sz val="13"/>
        <color rgb="FF636568"/>
        <rFont val="Calibri"/>
        <family val="2"/>
      </rPr>
      <t>C</t>
    </r>
    <r>
      <rPr>
        <sz val="13"/>
        <color rgb="FF636568"/>
        <rFont val="Calibri"/>
        <family val="2"/>
      </rPr>
      <t xml:space="preserve">onstant = a static ("hard-coded") value within of a formula. </t>
    </r>
    <r>
      <rPr>
        <i/>
        <sz val="11"/>
        <color rgb="FF636568"/>
        <rFont val="Calibri"/>
        <family val="2"/>
      </rPr>
      <t>(e.g. 9, "purple", 10/10/2020, etc.)</t>
    </r>
  </si>
  <si>
    <t>Placeholders (Save formulas as you go with temp values like "blah")</t>
  </si>
  <si>
    <t>Example: YEAR, MONTH, DAY functions, and then use the DATE function</t>
  </si>
  <si>
    <t>REFERENCE) Formula Fundamentals - Printable</t>
  </si>
  <si>
    <r>
      <rPr>
        <b/>
        <sz val="13"/>
        <rFont val="Calibri"/>
        <family val="2"/>
      </rPr>
      <t xml:space="preserve">Formula </t>
    </r>
    <r>
      <rPr>
        <sz val="13"/>
        <rFont val="Calibri"/>
        <family val="2"/>
      </rPr>
      <t>= an expression which performs any calculation within a spreadsheet.</t>
    </r>
  </si>
  <si>
    <r>
      <rPr>
        <b/>
        <sz val="13"/>
        <rFont val="Calibri"/>
        <family val="2"/>
      </rPr>
      <t xml:space="preserve">Function </t>
    </r>
    <r>
      <rPr>
        <sz val="13"/>
        <rFont val="Calibri"/>
        <family val="2"/>
      </rPr>
      <t>= a predefined type of calculation within a formula.</t>
    </r>
  </si>
  <si>
    <r>
      <rPr>
        <b/>
        <u/>
        <sz val="13"/>
        <rFont val="Calibri"/>
        <family val="2"/>
      </rPr>
      <t>F</t>
    </r>
    <r>
      <rPr>
        <sz val="13"/>
        <rFont val="Calibri"/>
        <family val="2"/>
      </rPr>
      <t xml:space="preserve">unction = a predefined type of calculation within a formula. </t>
    </r>
    <r>
      <rPr>
        <i/>
        <sz val="11"/>
        <rFont val="Calibri"/>
        <family val="2"/>
      </rPr>
      <t>(e.g. SUM, AVERAGE, COUNT, etc.)</t>
    </r>
  </si>
  <si>
    <r>
      <rPr>
        <b/>
        <u/>
        <sz val="13"/>
        <rFont val="Calibri"/>
        <family val="2"/>
      </rPr>
      <t>R</t>
    </r>
    <r>
      <rPr>
        <sz val="13"/>
        <rFont val="Calibri"/>
        <family val="2"/>
      </rPr>
      <t xml:space="preserve">eference = a naming system for identifying a cell's location. </t>
    </r>
    <r>
      <rPr>
        <i/>
        <sz val="11"/>
        <rFont val="Calibri"/>
        <family val="2"/>
      </rPr>
      <t>(e.g. A1, B5, G6, etc.)</t>
    </r>
  </si>
  <si>
    <r>
      <rPr>
        <b/>
        <u/>
        <sz val="13"/>
        <rFont val="Calibri"/>
        <family val="2"/>
      </rPr>
      <t>O</t>
    </r>
    <r>
      <rPr>
        <sz val="13"/>
        <rFont val="Calibri"/>
        <family val="2"/>
      </rPr>
      <t xml:space="preserve">perator = a type of calculation to perform on the elements of a formula. </t>
    </r>
    <r>
      <rPr>
        <i/>
        <sz val="11"/>
        <rFont val="Calibri"/>
        <family val="2"/>
      </rPr>
      <t>(e.g. +, -, &lt;, &gt;, etc.)</t>
    </r>
  </si>
  <si>
    <r>
      <rPr>
        <b/>
        <u/>
        <sz val="13"/>
        <rFont val="Calibri"/>
        <family val="2"/>
      </rPr>
      <t>C</t>
    </r>
    <r>
      <rPr>
        <sz val="13"/>
        <rFont val="Calibri"/>
        <family val="2"/>
      </rPr>
      <t xml:space="preserve">onstant = a static ("hard-coded") value within of a formula. </t>
    </r>
    <r>
      <rPr>
        <i/>
        <sz val="11"/>
        <rFont val="Calibri"/>
        <family val="2"/>
      </rPr>
      <t>(e.g. 9, "purple", 10/10/2020, etc.)</t>
    </r>
  </si>
  <si>
    <t>(  )</t>
  </si>
  <si>
    <t>" "</t>
  </si>
  <si>
    <r>
      <rPr>
        <b/>
        <u/>
        <sz val="13"/>
        <rFont val="Calibri"/>
        <family val="2"/>
      </rPr>
      <t>B</t>
    </r>
    <r>
      <rPr>
        <sz val="13"/>
        <rFont val="Calibri"/>
        <family val="2"/>
      </rPr>
      <t>uilt-In help articles</t>
    </r>
  </si>
  <si>
    <r>
      <rPr>
        <b/>
        <u/>
        <sz val="13"/>
        <rFont val="Calibri"/>
        <family val="2"/>
      </rPr>
      <t>I</t>
    </r>
    <r>
      <rPr>
        <sz val="13"/>
        <rFont val="Calibri"/>
        <family val="2"/>
      </rPr>
      <t>nternet (i.e. online forums)</t>
    </r>
  </si>
  <si>
    <r>
      <rPr>
        <b/>
        <u/>
        <sz val="13"/>
        <rFont val="Calibri"/>
        <family val="2"/>
      </rPr>
      <t>P</t>
    </r>
    <r>
      <rPr>
        <sz val="13"/>
        <rFont val="Calibri"/>
        <family val="2"/>
      </rPr>
      <t>hone a friend or colleague</t>
    </r>
  </si>
  <si>
    <r>
      <rPr>
        <b/>
        <u/>
        <sz val="13"/>
        <rFont val="Calibri"/>
        <family val="2"/>
      </rPr>
      <t>E</t>
    </r>
    <r>
      <rPr>
        <sz val="13"/>
        <rFont val="Calibri"/>
        <family val="2"/>
      </rPr>
      <t>xpert - find an expert (e.g. clarity.fm)</t>
    </r>
  </si>
  <si>
    <r>
      <rPr>
        <b/>
        <sz val="13"/>
        <rFont val="Calibri"/>
        <family val="2"/>
      </rPr>
      <t>Memory Trick:</t>
    </r>
    <r>
      <rPr>
        <sz val="13"/>
        <rFont val="Calibri"/>
        <family val="2"/>
      </rPr>
      <t xml:space="preserve"> "Need help? Type </t>
    </r>
    <r>
      <rPr>
        <b/>
        <u/>
        <sz val="13"/>
        <rFont val="Calibri"/>
        <family val="2"/>
      </rPr>
      <t>BIPE</t>
    </r>
    <r>
      <rPr>
        <sz val="13"/>
        <rFont val="Calibri"/>
        <family val="2"/>
      </rPr>
      <t>!")</t>
    </r>
  </si>
  <si>
    <t>Start Time Hour (0-24)</t>
  </si>
  <si>
    <t>Contractor Day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</si>
</sst>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"/>
    <numFmt numFmtId="165" formatCode="mm/dd/yy;@"/>
    <numFmt numFmtId="166" formatCode="hh:mm:ss\ AM/PM"/>
  </numFmts>
  <fonts count="42" x14ac:knownFonts="1"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" tint="0.24994659260841701"/>
      <name val="Calibri"/>
      <family val="2"/>
      <scheme val="minor"/>
    </font>
    <font>
      <sz val="11"/>
      <color rgb="FF636568"/>
      <name val="Calibri"/>
      <family val="2"/>
    </font>
    <font>
      <sz val="36"/>
      <color rgb="FF636568"/>
      <name val="Calibri"/>
      <family val="2"/>
    </font>
    <font>
      <sz val="16"/>
      <color rgb="FF636568"/>
      <name val="Calibri"/>
      <family val="2"/>
    </font>
    <font>
      <sz val="13"/>
      <color rgb="FF636568"/>
      <name val="Calibri"/>
      <family val="2"/>
    </font>
    <font>
      <b/>
      <sz val="16"/>
      <color rgb="FF636568"/>
      <name val="Calibri"/>
      <family val="2"/>
    </font>
    <font>
      <i/>
      <sz val="14"/>
      <color rgb="FF636568"/>
      <name val="Calibri"/>
      <family val="2"/>
    </font>
    <font>
      <b/>
      <sz val="11"/>
      <color theme="1"/>
      <name val="Calibri"/>
      <family val="2"/>
    </font>
    <font>
      <b/>
      <i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3"/>
      <color rgb="FF636568"/>
      <name val="Calibri"/>
      <family val="2"/>
    </font>
    <font>
      <sz val="20"/>
      <color rgb="FF636568"/>
      <name val="Calibri"/>
      <family val="2"/>
    </font>
    <font>
      <b/>
      <u/>
      <sz val="11"/>
      <color rgb="FF636568"/>
      <name val="Calibri"/>
      <family val="2"/>
    </font>
    <font>
      <b/>
      <sz val="11"/>
      <color rgb="FF636568"/>
      <name val="Calibri"/>
      <family val="2"/>
    </font>
    <font>
      <b/>
      <u/>
      <sz val="13"/>
      <color rgb="FF636568"/>
      <name val="Calibri"/>
      <family val="2"/>
    </font>
    <font>
      <sz val="13"/>
      <color rgb="FF177390"/>
      <name val="Calibri"/>
      <family val="2"/>
    </font>
    <font>
      <b/>
      <sz val="13"/>
      <color rgb="FF177390"/>
      <name val="Calibri"/>
      <family val="2"/>
    </font>
    <font>
      <b/>
      <u/>
      <sz val="13"/>
      <color rgb="FF177390"/>
      <name val="Calibri"/>
      <family val="2"/>
    </font>
    <font>
      <sz val="16"/>
      <color theme="1"/>
      <name val="Calibri"/>
      <family val="2"/>
    </font>
    <font>
      <sz val="8"/>
      <name val="Calibri"/>
      <family val="2"/>
    </font>
    <font>
      <i/>
      <sz val="11"/>
      <color rgb="FF636568"/>
      <name val="Calibri"/>
      <family val="2"/>
    </font>
    <font>
      <i/>
      <sz val="13"/>
      <color rgb="FF636568"/>
      <name val="Calibri"/>
      <family val="2"/>
    </font>
    <font>
      <sz val="20"/>
      <name val="Calibri"/>
      <family val="2"/>
    </font>
    <font>
      <sz val="13"/>
      <name val="Calibri"/>
      <family val="2"/>
    </font>
    <font>
      <b/>
      <sz val="16"/>
      <name val="Calibri"/>
      <family val="2"/>
    </font>
    <font>
      <b/>
      <sz val="13"/>
      <name val="Calibri"/>
      <family val="2"/>
    </font>
    <font>
      <b/>
      <u/>
      <sz val="13"/>
      <name val="Calibri"/>
      <family val="2"/>
    </font>
    <font>
      <i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40B4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8E908F"/>
        <bgColor indexed="64"/>
      </patternFill>
    </fill>
    <fill>
      <patternFill patternType="solid">
        <fgColor rgb="FFFFD101"/>
        <bgColor indexed="64"/>
      </patternFill>
    </fill>
    <fill>
      <patternFill patternType="solid">
        <fgColor rgb="FFFFEB9C"/>
      </patternFill>
    </fill>
    <fill>
      <patternFill patternType="solid">
        <fgColor rgb="FF2297D4"/>
        <bgColor indexed="64"/>
      </patternFill>
    </fill>
    <fill>
      <patternFill patternType="solid">
        <fgColor rgb="FFEE332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EBFE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20">
    <xf numFmtId="0" fontId="0" fillId="0" borderId="0"/>
    <xf numFmtId="9" fontId="9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1" applyNumberFormat="0" applyFill="0" applyAlignment="0">
      <protection locked="0"/>
    </xf>
    <xf numFmtId="0" fontId="3" fillId="0" borderId="0" applyNumberFormat="0" applyFill="0" applyBorder="0" applyAlignment="0"/>
    <xf numFmtId="0" fontId="11" fillId="0" borderId="0" applyNumberFormat="0" applyFill="0" applyBorder="0" applyAlignment="0"/>
    <xf numFmtId="0" fontId="1" fillId="0" borderId="0" applyNumberFormat="0" applyFill="0" applyBorder="0" applyAlignment="0"/>
    <xf numFmtId="164" fontId="4" fillId="0" borderId="0" applyNumberFormat="0" applyFill="0" applyBorder="0" applyAlignment="0" applyProtection="0">
      <alignment horizontal="right"/>
    </xf>
    <xf numFmtId="10" fontId="6" fillId="0" borderId="0" applyNumberFormat="0" applyFill="0" applyBorder="0" applyAlignment="0" applyProtection="0"/>
    <xf numFmtId="0" fontId="7" fillId="0" borderId="0" applyNumberFormat="0" applyFill="0" applyBorder="0" applyAlignment="0"/>
    <xf numFmtId="0" fontId="8" fillId="0" borderId="1" applyNumberFormat="0" applyFill="0" applyAlignment="0">
      <protection locked="0"/>
    </xf>
    <xf numFmtId="0" fontId="2" fillId="2" borderId="0" applyNumberFormat="0" applyBorder="0" applyAlignment="0"/>
    <xf numFmtId="0" fontId="2" fillId="9" borderId="0" applyNumberFormat="0" applyBorder="0" applyAlignment="0"/>
    <xf numFmtId="0" fontId="2" fillId="6" borderId="0" applyNumberFormat="0" applyBorder="0" applyAlignment="0"/>
    <xf numFmtId="0" fontId="2" fillId="3" borderId="0" applyNumberFormat="0" applyBorder="0" applyAlignment="0"/>
    <xf numFmtId="0" fontId="10" fillId="7" borderId="0" applyNumberFormat="0" applyBorder="0" applyAlignment="0"/>
    <xf numFmtId="0" fontId="2" fillId="10" borderId="0" applyNumberFormat="0" applyBorder="0" applyAlignment="0"/>
    <xf numFmtId="0" fontId="2" fillId="11" borderId="0" applyNumberFormat="0" applyBorder="0" applyAlignment="0"/>
  </cellStyleXfs>
  <cellXfs count="128">
    <xf numFmtId="0" fontId="0" fillId="0" borderId="0" xfId="0"/>
    <xf numFmtId="0" fontId="12" fillId="12" borderId="0" xfId="0" applyFont="1" applyFill="1"/>
    <xf numFmtId="0" fontId="13" fillId="12" borderId="0" xfId="0" applyFont="1" applyFill="1"/>
    <xf numFmtId="0" fontId="14" fillId="12" borderId="0" xfId="0" applyFont="1" applyFill="1"/>
    <xf numFmtId="0" fontId="15" fillId="12" borderId="0" xfId="0" applyFont="1" applyFill="1"/>
    <xf numFmtId="0" fontId="16" fillId="12" borderId="0" xfId="0" applyFont="1" applyFill="1"/>
    <xf numFmtId="0" fontId="0" fillId="12" borderId="0" xfId="0" applyFill="1"/>
    <xf numFmtId="0" fontId="17" fillId="12" borderId="0" xfId="0" applyFont="1" applyFill="1"/>
    <xf numFmtId="0" fontId="0" fillId="13" borderId="0" xfId="0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18" fillId="13" borderId="0" xfId="0" applyFont="1" applyFill="1" applyAlignment="1">
      <alignment horizontal="right"/>
    </xf>
    <xf numFmtId="0" fontId="0" fillId="13" borderId="0" xfId="0" applyFill="1" applyAlignment="1">
      <alignment horizontal="center"/>
    </xf>
    <xf numFmtId="0" fontId="5" fillId="0" borderId="1" xfId="5" applyAlignment="1">
      <alignment horizontal="center"/>
      <protection locked="0"/>
    </xf>
    <xf numFmtId="0" fontId="0" fillId="0" borderId="2" xfId="0" applyBorder="1" applyAlignment="1">
      <alignment wrapText="1"/>
    </xf>
    <xf numFmtId="0" fontId="19" fillId="6" borderId="2" xfId="15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9" fontId="4" fillId="13" borderId="0" xfId="9" applyNumberFormat="1" applyFill="1" applyAlignment="1">
      <alignment horizontal="center"/>
    </xf>
    <xf numFmtId="0" fontId="0" fillId="0" borderId="5" xfId="0" applyBorder="1" applyAlignment="1">
      <alignment horizontal="left" wrapText="1"/>
    </xf>
    <xf numFmtId="0" fontId="0" fillId="13" borderId="4" xfId="0" applyFill="1" applyBorder="1" applyAlignment="1">
      <alignment horizontal="left"/>
    </xf>
    <xf numFmtId="0" fontId="19" fillId="2" borderId="0" xfId="13" applyFont="1" applyAlignment="1">
      <alignment horizontal="left"/>
    </xf>
    <xf numFmtId="0" fontId="19" fillId="2" borderId="2" xfId="13" applyFont="1" applyBorder="1" applyAlignment="1">
      <alignment horizontal="left" wrapText="1"/>
    </xf>
    <xf numFmtId="0" fontId="18" fillId="13" borderId="6" xfId="0" applyFont="1" applyFill="1" applyBorder="1"/>
    <xf numFmtId="0" fontId="1" fillId="13" borderId="4" xfId="8" applyFill="1" applyBorder="1" applyAlignment="1">
      <alignment horizontal="center"/>
    </xf>
    <xf numFmtId="0" fontId="1" fillId="13" borderId="0" xfId="8" applyFill="1" applyBorder="1" applyAlignment="1">
      <alignment horizontal="center"/>
    </xf>
    <xf numFmtId="9" fontId="4" fillId="13" borderId="3" xfId="9" applyNumberFormat="1" applyFill="1" applyBorder="1" applyAlignment="1">
      <alignment horizontal="center"/>
    </xf>
    <xf numFmtId="0" fontId="4" fillId="0" borderId="0" xfId="9" applyNumberFormat="1" applyAlignment="1">
      <alignment horizontal="left"/>
    </xf>
    <xf numFmtId="0" fontId="19" fillId="6" borderId="9" xfId="15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19" fillId="2" borderId="0" xfId="13" applyFont="1" applyAlignment="1">
      <alignment horizontal="center"/>
    </xf>
    <xf numFmtId="0" fontId="5" fillId="0" borderId="11" xfId="5" applyBorder="1" applyAlignment="1">
      <alignment horizontal="center"/>
      <protection locked="0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2" xfId="5" applyFill="1" applyBorder="1" applyAlignment="1">
      <alignment horizontal="center"/>
      <protection locked="0"/>
    </xf>
    <xf numFmtId="0" fontId="0" fillId="0" borderId="10" xfId="0" applyBorder="1" applyAlignment="1">
      <alignment horizontal="left" wrapText="1"/>
    </xf>
    <xf numFmtId="0" fontId="19" fillId="2" borderId="9" xfId="13" applyFont="1" applyBorder="1" applyAlignment="1">
      <alignment horizontal="left" wrapText="1"/>
    </xf>
    <xf numFmtId="0" fontId="14" fillId="12" borderId="0" xfId="0" applyFont="1" applyFill="1" applyAlignment="1">
      <alignment horizontal="left" indent="33"/>
    </xf>
    <xf numFmtId="0" fontId="17" fillId="12" borderId="0" xfId="0" applyFont="1" applyFill="1" applyAlignment="1">
      <alignment horizontal="left" indent="33"/>
    </xf>
    <xf numFmtId="0" fontId="14" fillId="12" borderId="0" xfId="0" applyFont="1" applyFill="1" applyAlignment="1">
      <alignment horizontal="left"/>
    </xf>
    <xf numFmtId="0" fontId="17" fillId="12" borderId="0" xfId="0" applyFont="1" applyFill="1" applyAlignment="1">
      <alignment horizontal="left"/>
    </xf>
    <xf numFmtId="164" fontId="5" fillId="0" borderId="8" xfId="5" applyNumberFormat="1" applyBorder="1" applyAlignment="1">
      <alignment horizontal="left"/>
      <protection locked="0"/>
    </xf>
    <xf numFmtId="164" fontId="5" fillId="0" borderId="7" xfId="5" applyNumberFormat="1" applyBorder="1" applyAlignment="1">
      <alignment horizontal="left"/>
      <protection locked="0"/>
    </xf>
    <xf numFmtId="164" fontId="4" fillId="0" borderId="0" xfId="9" applyNumberFormat="1" applyAlignment="1">
      <alignment horizontal="left"/>
    </xf>
    <xf numFmtId="0" fontId="21" fillId="12" borderId="0" xfId="0" applyFont="1" applyFill="1"/>
    <xf numFmtId="0" fontId="20" fillId="0" borderId="14" xfId="0" applyFont="1" applyBorder="1" applyAlignment="1">
      <alignment horizontal="center"/>
    </xf>
    <xf numFmtId="164" fontId="5" fillId="0" borderId="7" xfId="5" applyNumberFormat="1" applyFill="1" applyBorder="1" applyAlignment="1">
      <alignment horizontal="left"/>
      <protection locked="0"/>
    </xf>
    <xf numFmtId="164" fontId="4" fillId="0" borderId="0" xfId="9" applyNumberFormat="1" applyFill="1" applyAlignment="1">
      <alignment horizontal="left"/>
    </xf>
    <xf numFmtId="0" fontId="0" fillId="13" borderId="4" xfId="0" quotePrefix="1" applyFill="1" applyBorder="1" applyAlignment="1">
      <alignment horizontal="left"/>
    </xf>
    <xf numFmtId="3" fontId="5" fillId="0" borderId="7" xfId="5" applyNumberFormat="1" applyBorder="1" applyAlignment="1">
      <alignment horizontal="left"/>
      <protection locked="0"/>
    </xf>
    <xf numFmtId="3" fontId="5" fillId="0" borderId="7" xfId="5" applyNumberFormat="1" applyFill="1" applyBorder="1" applyAlignment="1">
      <alignment horizontal="left"/>
      <protection locked="0"/>
    </xf>
    <xf numFmtId="0" fontId="4" fillId="0" borderId="0" xfId="9" applyNumberFormat="1" applyFill="1" applyAlignment="1">
      <alignment horizontal="left"/>
    </xf>
    <xf numFmtId="3" fontId="4" fillId="0" borderId="0" xfId="9" applyNumberFormat="1" applyAlignment="1">
      <alignment horizontal="left"/>
    </xf>
    <xf numFmtId="3" fontId="4" fillId="0" borderId="0" xfId="9" applyNumberFormat="1" applyFill="1" applyAlignment="1">
      <alignment horizontal="left"/>
    </xf>
    <xf numFmtId="14" fontId="2" fillId="9" borderId="3" xfId="14" applyNumberFormat="1" applyBorder="1" applyAlignment="1">
      <alignment horizontal="center"/>
    </xf>
    <xf numFmtId="0" fontId="0" fillId="0" borderId="10" xfId="0" applyBorder="1" applyAlignment="1">
      <alignment horizontal="center" wrapText="1"/>
    </xf>
    <xf numFmtId="164" fontId="5" fillId="0" borderId="7" xfId="5" applyNumberFormat="1" applyBorder="1" applyAlignment="1">
      <alignment horizontal="center"/>
      <protection locked="0"/>
    </xf>
    <xf numFmtId="164" fontId="5" fillId="0" borderId="7" xfId="5" applyNumberFormat="1" applyFill="1" applyBorder="1" applyAlignment="1">
      <alignment horizontal="center"/>
      <protection locked="0"/>
    </xf>
    <xf numFmtId="0" fontId="0" fillId="13" borderId="4" xfId="0" applyFill="1" applyBorder="1" applyAlignment="1">
      <alignment horizontal="center"/>
    </xf>
    <xf numFmtId="0" fontId="19" fillId="2" borderId="9" xfId="13" applyFont="1" applyBorder="1" applyAlignment="1">
      <alignment horizontal="center" wrapText="1"/>
    </xf>
    <xf numFmtId="164" fontId="4" fillId="0" borderId="0" xfId="9" applyNumberFormat="1" applyAlignment="1">
      <alignment horizontal="center"/>
    </xf>
    <xf numFmtId="164" fontId="4" fillId="0" borderId="0" xfId="9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9" xfId="0" applyBorder="1" applyAlignment="1">
      <alignment horizontal="right" wrapText="1"/>
    </xf>
    <xf numFmtId="9" fontId="5" fillId="0" borderId="7" xfId="5" applyNumberFormat="1" applyBorder="1" applyAlignment="1">
      <alignment horizontal="left"/>
      <protection locked="0"/>
    </xf>
    <xf numFmtId="9" fontId="5" fillId="0" borderId="7" xfId="5" applyNumberFormat="1" applyFill="1" applyBorder="1" applyAlignment="1">
      <alignment horizontal="left"/>
      <protection locked="0"/>
    </xf>
    <xf numFmtId="9" fontId="4" fillId="0" borderId="0" xfId="9" applyNumberFormat="1" applyAlignment="1">
      <alignment horizontal="left"/>
    </xf>
    <xf numFmtId="9" fontId="4" fillId="0" borderId="0" xfId="9" applyNumberFormat="1" applyFill="1" applyAlignment="1">
      <alignment horizontal="left"/>
    </xf>
    <xf numFmtId="0" fontId="18" fillId="13" borderId="0" xfId="0" applyFont="1" applyFill="1"/>
    <xf numFmtId="0" fontId="22" fillId="12" borderId="0" xfId="0" applyFont="1" applyFill="1"/>
    <xf numFmtId="0" fontId="23" fillId="12" borderId="0" xfId="0" applyFont="1" applyFill="1"/>
    <xf numFmtId="0" fontId="24" fillId="12" borderId="0" xfId="0" applyFont="1" applyFill="1"/>
    <xf numFmtId="0" fontId="12" fillId="14" borderId="0" xfId="0" applyFont="1" applyFill="1"/>
    <xf numFmtId="0" fontId="12" fillId="14" borderId="0" xfId="0" quotePrefix="1" applyFont="1" applyFill="1"/>
    <xf numFmtId="0" fontId="26" fillId="12" borderId="0" xfId="0" applyFont="1" applyFill="1"/>
    <xf numFmtId="0" fontId="18" fillId="13" borderId="13" xfId="0" applyFont="1" applyFill="1" applyBorder="1" applyAlignment="1">
      <alignment horizontal="right"/>
    </xf>
    <xf numFmtId="0" fontId="18" fillId="13" borderId="2" xfId="0" applyFont="1" applyFill="1" applyBorder="1" applyAlignment="1">
      <alignment horizontal="right"/>
    </xf>
    <xf numFmtId="0" fontId="0" fillId="0" borderId="5" xfId="0" applyBorder="1" applyAlignment="1">
      <alignment horizontal="right" wrapText="1"/>
    </xf>
    <xf numFmtId="0" fontId="5" fillId="0" borderId="8" xfId="5" applyNumberFormat="1" applyBorder="1" applyAlignment="1">
      <alignment horizontal="right"/>
      <protection locked="0"/>
    </xf>
    <xf numFmtId="0" fontId="5" fillId="0" borderId="7" xfId="5" applyNumberFormat="1" applyBorder="1" applyAlignment="1">
      <alignment horizontal="right"/>
      <protection locked="0"/>
    </xf>
    <xf numFmtId="0" fontId="5" fillId="0" borderId="7" xfId="5" applyNumberFormat="1" applyFill="1" applyBorder="1" applyAlignment="1">
      <alignment horizontal="right"/>
      <protection locked="0"/>
    </xf>
    <xf numFmtId="0" fontId="0" fillId="13" borderId="4" xfId="0" applyFill="1" applyBorder="1" applyAlignment="1">
      <alignment horizontal="right"/>
    </xf>
    <xf numFmtId="0" fontId="5" fillId="0" borderId="1" xfId="5" applyNumberFormat="1" applyFill="1" applyAlignment="1">
      <alignment horizontal="right"/>
      <protection locked="0"/>
    </xf>
    <xf numFmtId="0" fontId="0" fillId="0" borderId="10" xfId="0" applyBorder="1" applyAlignment="1">
      <alignment horizontal="right" wrapText="1"/>
    </xf>
    <xf numFmtId="0" fontId="19" fillId="2" borderId="0" xfId="13" applyFont="1" applyAlignment="1">
      <alignment horizontal="right"/>
    </xf>
    <xf numFmtId="0" fontId="19" fillId="2" borderId="2" xfId="13" applyFont="1" applyBorder="1" applyAlignment="1">
      <alignment horizontal="right" wrapText="1"/>
    </xf>
    <xf numFmtId="0" fontId="19" fillId="2" borderId="9" xfId="13" applyFont="1" applyBorder="1" applyAlignment="1">
      <alignment horizontal="right" wrapText="1"/>
    </xf>
    <xf numFmtId="0" fontId="4" fillId="0" borderId="0" xfId="9" applyNumberFormat="1" applyAlignment="1">
      <alignment horizontal="right"/>
    </xf>
    <xf numFmtId="0" fontId="4" fillId="0" borderId="0" xfId="9" applyNumberFormat="1" applyFill="1" applyAlignment="1">
      <alignment horizontal="right"/>
    </xf>
    <xf numFmtId="0" fontId="4" fillId="0" borderId="13" xfId="9" applyNumberFormat="1" applyFill="1" applyBorder="1" applyAlignment="1">
      <alignment horizontal="right"/>
    </xf>
    <xf numFmtId="165" fontId="5" fillId="0" borderId="7" xfId="5" applyNumberFormat="1" applyBorder="1" applyAlignment="1">
      <alignment horizontal="left"/>
      <protection locked="0"/>
    </xf>
    <xf numFmtId="165" fontId="5" fillId="0" borderId="7" xfId="5" applyNumberFormat="1" applyFill="1" applyBorder="1" applyAlignment="1">
      <alignment horizontal="left"/>
      <protection locked="0"/>
    </xf>
    <xf numFmtId="165" fontId="4" fillId="0" borderId="0" xfId="9" applyNumberFormat="1" applyAlignment="1">
      <alignment horizontal="left"/>
    </xf>
    <xf numFmtId="165" fontId="4" fillId="0" borderId="0" xfId="9" applyNumberFormat="1" applyFill="1" applyAlignment="1">
      <alignment horizontal="left"/>
    </xf>
    <xf numFmtId="166" fontId="0" fillId="0" borderId="0" xfId="0" applyNumberFormat="1" applyAlignment="1">
      <alignment horizontal="left"/>
    </xf>
    <xf numFmtId="166" fontId="5" fillId="0" borderId="7" xfId="5" applyNumberFormat="1" applyBorder="1" applyAlignment="1">
      <alignment horizontal="left"/>
      <protection locked="0"/>
    </xf>
    <xf numFmtId="166" fontId="5" fillId="0" borderId="7" xfId="5" applyNumberFormat="1" applyFill="1" applyBorder="1" applyAlignment="1">
      <alignment horizontal="left"/>
      <protection locked="0"/>
    </xf>
    <xf numFmtId="166" fontId="4" fillId="0" borderId="0" xfId="9" applyNumberFormat="1" applyAlignment="1">
      <alignment horizontal="left"/>
    </xf>
    <xf numFmtId="166" fontId="4" fillId="0" borderId="0" xfId="9" applyNumberFormat="1" applyFill="1" applyAlignment="1">
      <alignment horizontal="left"/>
    </xf>
    <xf numFmtId="0" fontId="0" fillId="13" borderId="4" xfId="0" quotePrefix="1" applyFill="1" applyBorder="1" applyAlignment="1">
      <alignment horizontal="right"/>
    </xf>
    <xf numFmtId="4" fontId="5" fillId="0" borderId="8" xfId="5" applyNumberFormat="1" applyBorder="1" applyAlignment="1">
      <alignment horizontal="right"/>
      <protection locked="0"/>
    </xf>
    <xf numFmtId="4" fontId="5" fillId="0" borderId="7" xfId="5" applyNumberFormat="1" applyBorder="1" applyAlignment="1">
      <alignment horizontal="right"/>
      <protection locked="0"/>
    </xf>
    <xf numFmtId="4" fontId="5" fillId="0" borderId="7" xfId="5" applyNumberFormat="1" applyFill="1" applyBorder="1" applyAlignment="1">
      <alignment horizontal="right"/>
      <protection locked="0"/>
    </xf>
    <xf numFmtId="3" fontId="5" fillId="0" borderId="8" xfId="5" applyNumberFormat="1" applyBorder="1" applyAlignment="1">
      <alignment horizontal="right"/>
      <protection locked="0"/>
    </xf>
    <xf numFmtId="3" fontId="5" fillId="0" borderId="7" xfId="5" applyNumberFormat="1" applyBorder="1" applyAlignment="1">
      <alignment horizontal="right"/>
      <protection locked="0"/>
    </xf>
    <xf numFmtId="3" fontId="5" fillId="0" borderId="7" xfId="5" applyNumberFormat="1" applyFill="1" applyBorder="1" applyAlignment="1">
      <alignment horizontal="right"/>
      <protection locked="0"/>
    </xf>
    <xf numFmtId="4" fontId="4" fillId="0" borderId="0" xfId="9" applyNumberFormat="1" applyAlignment="1">
      <alignment horizontal="right"/>
    </xf>
    <xf numFmtId="4" fontId="4" fillId="0" borderId="0" xfId="9" applyNumberFormat="1" applyFill="1" applyAlignment="1">
      <alignment horizontal="right"/>
    </xf>
    <xf numFmtId="4" fontId="4" fillId="0" borderId="13" xfId="9" applyNumberFormat="1" applyFill="1" applyBorder="1" applyAlignment="1">
      <alignment horizontal="right"/>
    </xf>
    <xf numFmtId="3" fontId="4" fillId="0" borderId="0" xfId="9" applyNumberFormat="1" applyAlignment="1">
      <alignment horizontal="right"/>
    </xf>
    <xf numFmtId="3" fontId="4" fillId="0" borderId="0" xfId="9" applyNumberFormat="1" applyFill="1" applyAlignment="1">
      <alignment horizontal="right"/>
    </xf>
    <xf numFmtId="3" fontId="4" fillId="0" borderId="13" xfId="9" applyNumberFormat="1" applyFill="1" applyBorder="1" applyAlignment="1">
      <alignment horizontal="right"/>
    </xf>
    <xf numFmtId="0" fontId="29" fillId="12" borderId="0" xfId="0" applyFont="1" applyFill="1"/>
    <xf numFmtId="4" fontId="5" fillId="0" borderId="1" xfId="5" applyNumberFormat="1" applyFill="1" applyAlignment="1">
      <alignment horizontal="right"/>
      <protection locked="0"/>
    </xf>
    <xf numFmtId="0" fontId="25" fillId="12" borderId="0" xfId="0" applyFont="1" applyFill="1"/>
    <xf numFmtId="0" fontId="32" fillId="12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4" fillId="0" borderId="0" xfId="0" applyFont="1" applyAlignment="1">
      <alignment horizontal="left"/>
    </xf>
    <xf numFmtId="0" fontId="39" fillId="0" borderId="0" xfId="0" applyFont="1"/>
    <xf numFmtId="0" fontId="40" fillId="0" borderId="0" xfId="0" applyFont="1"/>
    <xf numFmtId="0" fontId="10" fillId="0" borderId="0" xfId="0" applyFont="1"/>
    <xf numFmtId="0" fontId="40" fillId="15" borderId="0" xfId="0" applyFont="1" applyFill="1"/>
    <xf numFmtId="0" fontId="40" fillId="15" borderId="0" xfId="0" quotePrefix="1" applyFont="1" applyFill="1"/>
    <xf numFmtId="0" fontId="41" fillId="0" borderId="0" xfId="0" applyFont="1"/>
  </cellXfs>
  <cellStyles count="20">
    <cellStyle name="01 Header" xfId="14" xr:uid="{30B51DA1-627F-40A8-8F04-14909C790760}"/>
    <cellStyle name="02 Header" xfId="15" xr:uid="{0693564A-A4A3-45CC-A916-2C9B4FEA7E50}"/>
    <cellStyle name="03 Header" xfId="16" xr:uid="{E2C48963-A0D7-40C8-B619-DA77E3F7A964}"/>
    <cellStyle name="04 Header" xfId="17" xr:uid="{D0A7BD09-B5A6-46E7-899A-AA9A18E90644}"/>
    <cellStyle name="05 Header" xfId="18" xr:uid="{DDE607E3-CE6C-4B5B-929C-1952CADEFC26}"/>
    <cellStyle name="06 Header" xfId="19" xr:uid="{F6E9D2EA-3A69-4A2B-8803-6E63D556B9C7}"/>
    <cellStyle name="Backend Calculation" xfId="8" xr:uid="{00000000-0005-0000-0000-000000000000}"/>
    <cellStyle name="Backend Header" xfId="13" xr:uid="{00000000-0005-0000-0000-000001000000}"/>
    <cellStyle name="Bad" xfId="3" builtinId="27" customBuiltin="1"/>
    <cellStyle name="Calculation" xfId="6" builtinId="22" customBuiltin="1"/>
    <cellStyle name="Good" xfId="2" builtinId="26" customBuiltin="1"/>
    <cellStyle name="Highlight Difference" xfId="9" xr:uid="{00000000-0005-0000-0000-00000B000000}"/>
    <cellStyle name="Input" xfId="5" builtinId="20" customBuiltin="1"/>
    <cellStyle name="Linked Cell" xfId="7" builtinId="24" customBuiltin="1"/>
    <cellStyle name="Neutral" xfId="4" builtinId="28" customBuiltin="1"/>
    <cellStyle name="Normal" xfId="0" builtinId="0"/>
    <cellStyle name="Percent" xfId="1" builtinId="5" customBuiltin="1"/>
    <cellStyle name="Reminder" xfId="10" xr:uid="{00000000-0005-0000-0000-000011000000}"/>
    <cellStyle name="Total Calculation" xfId="11" xr:uid="{00000000-0005-0000-0000-000012000000}"/>
    <cellStyle name="Total Input" xfId="12" xr:uid="{00000000-0005-0000-0000-000013000000}"/>
  </cellStyles>
  <dxfs count="398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border outline="0">
        <left style="thin">
          <color theme="0" tint="-0.34998626667073579"/>
        </left>
        <right/>
      </border>
    </dxf>
    <dxf>
      <numFmt numFmtId="13" formatCode="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164" formatCode="&quot;$&quot;#,##0"/>
      <alignment horizontal="left" vertical="bottom" textRotation="0" indent="0" justifyLastLine="0" shrinkToFit="0" readingOrder="0"/>
    </dxf>
    <dxf>
      <numFmt numFmtId="164" formatCode="&quot;$&quot;#,##0"/>
      <alignment horizontal="left" vertical="bottom" textRotation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164" formatCode="&quot;$&quot;#,##0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164" formatCode="&quot;$&quot;#,##0"/>
      <alignment horizontal="left" vertical="bottom" textRotation="0" indent="0" justifyLastLine="0" shrinkToFit="0" readingOrder="0"/>
    </dxf>
    <dxf>
      <numFmt numFmtId="164" formatCode="&quot;$&quot;#,##0"/>
      <alignment horizontal="left" vertical="bottom" textRotation="0" indent="0" justifyLastLine="0" shrinkToFit="0" readingOrder="0"/>
      <border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numFmt numFmtId="164" formatCode="&quot;$&quot;#,##0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6" formatCode="hh:mm:ss\ AM/PM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166" formatCode="hh:mm:ss\ AM/PM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outline="0"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outline="0"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outline="0"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righ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4" formatCode="#,##0.00"/>
      <alignment horizontal="right" vertical="bottom" textRotation="0" indent="0" justifyLastLine="0" shrinkToFit="0" readingOrder="0"/>
      <border outline="0"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4" formatCode="#,##0.00"/>
      <alignment horizontal="right" vertical="bottom" textRotation="0" indent="0" justifyLastLine="0" shrinkToFit="0" readingOrder="0"/>
    </dxf>
    <dxf>
      <numFmt numFmtId="3" formatCode="#,##0"/>
      <alignment horizontal="right" vertical="bottom" textRotation="0" indent="0" justifyLastLine="0" shrinkToFit="0" readingOrder="0"/>
      <border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6" formatCode="hh:mm:ss\ AM/PM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166" formatCode="hh:mm:ss\ AM/PM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  <border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outline="0">
        <left style="thin">
          <color theme="0" tint="-0.34998626667073579"/>
        </left>
        <right/>
      </border>
    </dxf>
    <dxf>
      <alignment horizontal="left" vertical="bottom" textRotation="0" wrapText="0" indent="0" justifyLastLine="0" shrinkToFit="0" readingOrder="0"/>
    </dxf>
    <dxf>
      <numFmt numFmtId="165" formatCode="mm/dd/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indent="0" justifyLastLine="0" shrinkToFit="0" readingOrder="0"/>
      <border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right" vertical="bottom" textRotation="0" indent="0" justifyLastLine="0" shrinkToFit="0" readingOrder="0"/>
    </dxf>
    <dxf>
      <numFmt numFmtId="0" formatCode="General"/>
      <alignment horizontal="right" vertical="bottom" textRotation="0" indent="0" justifyLastLine="0" shrinkToFit="0" readingOrder="0"/>
      <border outline="0">
        <left/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font>
        <i/>
      </font>
      <numFmt numFmtId="0" formatCode="General"/>
      <alignment horizontal="center" vertical="bottom" textRotation="0" wrapText="0" indent="0" justifyLastLine="0" shrinkToFit="0" readingOrder="0"/>
      <border outline="0">
        <left style="thin">
          <color theme="0" tint="-0.34998626667073579"/>
        </left>
        <right/>
      </border>
    </dxf>
    <dxf>
      <numFmt numFmtId="0" formatCode="General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6" formatCode="hh:mm:ss\ AM/PM"/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numFmt numFmtId="165" formatCode="mm/dd/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theme="0" tint="-0.1498458815271462"/>
          <bgColor rgb="FFFFDCFF"/>
        </patternFill>
      </fill>
    </dxf>
    <dxf>
      <fill>
        <patternFill patternType="solid">
          <fgColor theme="0" tint="-0.1498458815271462"/>
          <bgColor rgb="FFFFDCFF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A9E5D4"/>
        </patternFill>
      </fill>
    </dxf>
    <dxf>
      <fill>
        <patternFill patternType="solid">
          <fgColor theme="0" tint="-0.14990691854609822"/>
          <bgColor rgb="FFA9E5D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FFFFC8"/>
        </patternFill>
      </fill>
    </dxf>
    <dxf>
      <fill>
        <patternFill patternType="solid">
          <fgColor theme="0" tint="-0.14993743705557422"/>
          <bgColor rgb="FFFFFFC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E8D3AC"/>
        </patternFill>
      </fill>
    </dxf>
    <dxf>
      <fill>
        <patternFill patternType="solid">
          <fgColor theme="0" tint="-0.14993743705557422"/>
          <bgColor rgb="FFE8D3A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9CAD8"/>
        </patternFill>
      </fill>
    </dxf>
    <dxf>
      <fill>
        <patternFill patternType="solid">
          <fgColor theme="0" tint="-0.14990691854609822"/>
          <bgColor rgb="FFF9CAD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6EC9C"/>
        </patternFill>
      </fill>
    </dxf>
    <dxf>
      <fill>
        <patternFill patternType="solid">
          <fgColor theme="0" tint="-0.14990691854609822"/>
          <bgColor rgb="FFF6EC9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auto="1"/>
      </font>
      <fill>
        <patternFill patternType="none">
          <bgColor auto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auto="1"/>
      </font>
      <border>
        <top style="thin">
          <color theme="9"/>
        </top>
      </border>
    </dxf>
    <dxf>
      <font>
        <b/>
        <i val="0"/>
        <color auto="1"/>
      </font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auto="1"/>
      </font>
      <border>
        <top style="thin">
          <color theme="8"/>
        </top>
      </border>
    </dxf>
    <dxf>
      <font>
        <b/>
        <i val="0"/>
        <color auto="1"/>
      </font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auto="1"/>
      </font>
      <border>
        <top style="thin">
          <color theme="7"/>
        </top>
      </border>
    </dxf>
    <dxf>
      <font>
        <b/>
        <i val="0"/>
        <color auto="1"/>
      </font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auto="1"/>
      </font>
      <border>
        <top style="thin">
          <color theme="6"/>
        </top>
      </border>
    </dxf>
    <dxf>
      <font>
        <b/>
        <i val="0"/>
        <color auto="1"/>
      </font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auto="1"/>
      </font>
      <border>
        <top style="thin">
          <color theme="5"/>
        </top>
      </border>
    </dxf>
    <dxf>
      <font>
        <b/>
        <i val="0"/>
        <color auto="1"/>
      </font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auto="1"/>
      </font>
      <border>
        <top style="thin">
          <color theme="4"/>
        </top>
      </border>
    </dxf>
    <dxf>
      <font>
        <b/>
        <i val="0"/>
        <color auto="1"/>
      </font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FFFFC8"/>
        </patternFill>
      </fill>
    </dxf>
    <dxf>
      <fill>
        <patternFill patternType="solid">
          <fgColor theme="0" tint="-0.14993743705557422"/>
          <bgColor rgb="FFFFFFC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fill>
        <patternFill>
          <bgColor rgb="FFFFFF66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2" tint="-0.499984740745262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theme="0"/>
      </font>
      <fill>
        <patternFill>
          <bgColor theme="9"/>
        </patternFill>
      </fill>
      <border>
        <top style="thin">
          <color theme="9"/>
        </top>
      </border>
    </dxf>
    <dxf>
      <font>
        <b/>
        <i val="0"/>
        <color theme="0"/>
      </font>
      <fill>
        <patternFill>
          <bgColor theme="9"/>
        </patternFill>
      </fill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theme="0"/>
      </font>
      <fill>
        <patternFill>
          <bgColor theme="8"/>
        </patternFill>
      </fill>
      <border>
        <top style="thin">
          <color theme="8"/>
        </top>
      </border>
    </dxf>
    <dxf>
      <font>
        <b/>
        <i val="0"/>
        <color theme="0"/>
      </font>
      <fill>
        <patternFill>
          <bgColor theme="8"/>
        </patternFill>
      </fill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theme="0"/>
      </font>
      <fill>
        <patternFill>
          <bgColor theme="7"/>
        </patternFill>
      </fill>
      <border>
        <top style="thin">
          <color theme="7"/>
        </top>
      </border>
    </dxf>
    <dxf>
      <font>
        <b/>
        <i val="0"/>
        <color theme="0"/>
      </font>
      <fill>
        <patternFill>
          <bgColor theme="7"/>
        </patternFill>
      </fill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0"/>
      </font>
      <fill>
        <patternFill>
          <bgColor theme="6"/>
        </patternFill>
      </fill>
      <border>
        <top style="thin">
          <color theme="6"/>
        </top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theme="0"/>
      </font>
      <fill>
        <patternFill>
          <bgColor theme="5"/>
        </patternFill>
      </fill>
      <border>
        <top style="thin">
          <color theme="5"/>
        </top>
      </border>
    </dxf>
    <dxf>
      <font>
        <b/>
        <i val="0"/>
        <color theme="0"/>
      </font>
      <fill>
        <patternFill>
          <bgColor theme="5"/>
        </patternFill>
      </fill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</border>
    </dxf>
    <dxf>
      <font>
        <b/>
        <i val="0"/>
        <color theme="0"/>
      </font>
      <fill>
        <patternFill>
          <bgColor theme="4"/>
        </patternFill>
      </fill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i val="0"/>
        <color theme="0"/>
      </font>
      <fill>
        <patternFill>
          <bgColor theme="1"/>
        </patternFill>
      </fill>
      <border>
        <top style="thin">
          <color theme="1"/>
        </top>
      </border>
    </dxf>
    <dxf>
      <font>
        <b/>
        <i val="0"/>
        <color theme="0"/>
      </font>
      <fill>
        <patternFill>
          <bgColor theme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23" defaultTableStyle="Shir Style 01 Gray" defaultPivotStyle="PivotStyleLight16">
    <tableStyle name="Excel Minimal 01 Gray" pivot="0" count="7" xr9:uid="{6759145B-E672-4B6B-911F-C85AA70ABB8C}">
      <tableStyleElement type="wholeTable" dxfId="397"/>
      <tableStyleElement type="headerRow" dxfId="396"/>
      <tableStyleElement type="totalRow" dxfId="395"/>
      <tableStyleElement type="firstColumn" dxfId="394"/>
      <tableStyleElement type="lastColumn" dxfId="393"/>
      <tableStyleElement type="firstRowStripe" dxfId="392"/>
      <tableStyleElement type="firstColumnStripe" dxfId="391"/>
    </tableStyle>
    <tableStyle name="Excel Minimal 02 Blue" pivot="0" count="7" xr9:uid="{AD831262-8318-42F8-BB6E-39D792DB3BC6}">
      <tableStyleElement type="wholeTable" dxfId="390"/>
      <tableStyleElement type="headerRow" dxfId="389"/>
      <tableStyleElement type="totalRow" dxfId="388"/>
      <tableStyleElement type="firstColumn" dxfId="387"/>
      <tableStyleElement type="lastColumn" dxfId="386"/>
      <tableStyleElement type="firstRowStripe" dxfId="385"/>
      <tableStyleElement type="firstColumnStripe" dxfId="384"/>
    </tableStyle>
    <tableStyle name="Excel Minimal 03 Red" pivot="0" count="7" xr9:uid="{35954E23-638C-4454-9F3B-75A417EA958C}">
      <tableStyleElement type="wholeTable" dxfId="383"/>
      <tableStyleElement type="headerRow" dxfId="382"/>
      <tableStyleElement type="totalRow" dxfId="381"/>
      <tableStyleElement type="firstColumn" dxfId="380"/>
      <tableStyleElement type="lastColumn" dxfId="379"/>
      <tableStyleElement type="firstRowStripe" dxfId="378"/>
      <tableStyleElement type="firstColumnStripe" dxfId="377"/>
    </tableStyle>
    <tableStyle name="Excel Minimal 04 Green" pivot="0" count="7" xr9:uid="{6C1ECD0B-1F69-4F08-A015-7657D5AAAE99}">
      <tableStyleElement type="wholeTable" dxfId="376"/>
      <tableStyleElement type="headerRow" dxfId="375"/>
      <tableStyleElement type="totalRow" dxfId="374"/>
      <tableStyleElement type="firstColumn" dxfId="373"/>
      <tableStyleElement type="lastColumn" dxfId="372"/>
      <tableStyleElement type="firstRowStripe" dxfId="371"/>
      <tableStyleElement type="firstColumnStripe" dxfId="370"/>
    </tableStyle>
    <tableStyle name="Excel Minimal 05 Purple" pivot="0" count="7" xr9:uid="{20A09535-52D8-4D2D-8240-898885AC29AD}">
      <tableStyleElement type="wholeTable" dxfId="369"/>
      <tableStyleElement type="headerRow" dxfId="368"/>
      <tableStyleElement type="totalRow" dxfId="367"/>
      <tableStyleElement type="firstColumn" dxfId="366"/>
      <tableStyleElement type="lastColumn" dxfId="365"/>
      <tableStyleElement type="firstRowStripe" dxfId="364"/>
      <tableStyleElement type="firstColumnStripe" dxfId="363"/>
    </tableStyle>
    <tableStyle name="Excel Minimal 06 Light Blue" pivot="0" count="7" xr9:uid="{46D4D46E-9D20-4633-A17C-24108BA052DE}">
      <tableStyleElement type="wholeTable" dxfId="362"/>
      <tableStyleElement type="headerRow" dxfId="361"/>
      <tableStyleElement type="totalRow" dxfId="360"/>
      <tableStyleElement type="firstColumn" dxfId="359"/>
      <tableStyleElement type="lastColumn" dxfId="358"/>
      <tableStyleElement type="firstRowStripe" dxfId="357"/>
      <tableStyleElement type="firstColumnStripe" dxfId="356"/>
    </tableStyle>
    <tableStyle name="Excel Minimal 07 Orange" pivot="0" count="7" xr9:uid="{7A22539F-005A-4AB7-A45D-781B43FE945C}">
      <tableStyleElement type="wholeTable" dxfId="355"/>
      <tableStyleElement type="headerRow" dxfId="354"/>
      <tableStyleElement type="totalRow" dxfId="353"/>
      <tableStyleElement type="firstColumn" dxfId="352"/>
      <tableStyleElement type="lastColumn" dxfId="351"/>
      <tableStyleElement type="firstRowStripe" dxfId="350"/>
      <tableStyleElement type="firstColumnStripe" dxfId="349"/>
    </tableStyle>
    <tableStyle name="Excel Minimal 08 Brown" pivot="0" count="7" xr9:uid="{46476A99-EF23-4F6B-91C3-6E9E9F1A5768}">
      <tableStyleElement type="wholeTable" dxfId="348"/>
      <tableStyleElement type="headerRow" dxfId="347"/>
      <tableStyleElement type="totalRow" dxfId="346"/>
      <tableStyleElement type="firstColumn" dxfId="345"/>
      <tableStyleElement type="lastColumn" dxfId="344"/>
      <tableStyleElement type="firstRowStripe" dxfId="343"/>
      <tableStyleElement type="firstColumnStripe" dxfId="342"/>
    </tableStyle>
    <tableStyle name="Excel Minimal 09 Yellow" pivot="0" count="7" xr9:uid="{399D2316-ECEB-4B80-B99F-129F9EE4A871}">
      <tableStyleElement type="wholeTable" dxfId="341"/>
      <tableStyleElement type="headerRow" dxfId="340"/>
      <tableStyleElement type="totalRow" dxfId="339"/>
      <tableStyleElement type="firstColumn" dxfId="338"/>
      <tableStyleElement type="lastColumn" dxfId="337"/>
      <tableStyleElement type="firstRowStripe" dxfId="336"/>
      <tableStyleElement type="firstColumnStripe" dxfId="335"/>
    </tableStyle>
    <tableStyle name="Shir Style 01 Gray" pivot="0" count="7" xr9:uid="{00000000-0011-0000-FFFF-FFFF03000000}">
      <tableStyleElement type="wholeTable" dxfId="334"/>
      <tableStyleElement type="headerRow" dxfId="333"/>
      <tableStyleElement type="totalRow" dxfId="332"/>
      <tableStyleElement type="firstColumn" dxfId="331"/>
      <tableStyleElement type="lastColumn" dxfId="330"/>
      <tableStyleElement type="firstRowStripe" dxfId="329"/>
      <tableStyleElement type="firstColumnStripe" dxfId="328"/>
    </tableStyle>
    <tableStyle name="Shir Style 02 Blue" pivot="0" count="7" xr9:uid="{00000000-0011-0000-FFFF-FFFF04000000}">
      <tableStyleElement type="wholeTable" dxfId="327"/>
      <tableStyleElement type="headerRow" dxfId="326"/>
      <tableStyleElement type="totalRow" dxfId="325"/>
      <tableStyleElement type="firstColumn" dxfId="324"/>
      <tableStyleElement type="lastColumn" dxfId="323"/>
      <tableStyleElement type="firstRowStripe" dxfId="322"/>
      <tableStyleElement type="firstColumnStripe" dxfId="321"/>
    </tableStyle>
    <tableStyle name="Shir Style 03 Red" pivot="0" count="7" xr9:uid="{00000000-0011-0000-FFFF-FFFF05000000}">
      <tableStyleElement type="wholeTable" dxfId="320"/>
      <tableStyleElement type="headerRow" dxfId="319"/>
      <tableStyleElement type="totalRow" dxfId="318"/>
      <tableStyleElement type="firstColumn" dxfId="317"/>
      <tableStyleElement type="lastColumn" dxfId="316"/>
      <tableStyleElement type="firstRowStripe" dxfId="315"/>
      <tableStyleElement type="firstColumnStripe" dxfId="314"/>
    </tableStyle>
    <tableStyle name="Shir Style 04 Green" pivot="0" count="7" xr9:uid="{00000000-0011-0000-FFFF-FFFF06000000}">
      <tableStyleElement type="wholeTable" dxfId="313"/>
      <tableStyleElement type="headerRow" dxfId="312"/>
      <tableStyleElement type="totalRow" dxfId="311"/>
      <tableStyleElement type="firstColumn" dxfId="310"/>
      <tableStyleElement type="lastColumn" dxfId="309"/>
      <tableStyleElement type="firstRowStripe" dxfId="308"/>
      <tableStyleElement type="firstColumnStripe" dxfId="307"/>
    </tableStyle>
    <tableStyle name="Shir Style 05 Purple" pivot="0" count="7" xr9:uid="{00000000-0011-0000-FFFF-FFFF07000000}">
      <tableStyleElement type="wholeTable" dxfId="306"/>
      <tableStyleElement type="headerRow" dxfId="305"/>
      <tableStyleElement type="totalRow" dxfId="304"/>
      <tableStyleElement type="firstColumn" dxfId="303"/>
      <tableStyleElement type="lastColumn" dxfId="302"/>
      <tableStyleElement type="firstRowStripe" dxfId="301"/>
      <tableStyleElement type="firstColumnStripe" dxfId="300"/>
    </tableStyle>
    <tableStyle name="Shir Style 06 Light Blue" pivot="0" count="7" xr9:uid="{00000000-0011-0000-FFFF-FFFF08000000}">
      <tableStyleElement type="wholeTable" dxfId="299"/>
      <tableStyleElement type="headerRow" dxfId="298"/>
      <tableStyleElement type="totalRow" dxfId="297"/>
      <tableStyleElement type="firstColumn" dxfId="296"/>
      <tableStyleElement type="lastColumn" dxfId="295"/>
      <tableStyleElement type="firstRowStripe" dxfId="294"/>
      <tableStyleElement type="firstColumnStripe" dxfId="293"/>
    </tableStyle>
    <tableStyle name="Shir Style 07 Orange" pivot="0" count="7" xr9:uid="{00000000-0011-0000-FFFF-FFFF09000000}">
      <tableStyleElement type="wholeTable" dxfId="292"/>
      <tableStyleElement type="headerRow" dxfId="291"/>
      <tableStyleElement type="totalRow" dxfId="290"/>
      <tableStyleElement type="firstColumn" dxfId="289"/>
      <tableStyleElement type="lastColumn" dxfId="288"/>
      <tableStyleElement type="firstRowStripe" dxfId="287"/>
      <tableStyleElement type="firstColumnStripe" dxfId="286"/>
    </tableStyle>
    <tableStyle name="Shir Style 08 Brown" pivot="0" count="7" xr9:uid="{00000000-0011-0000-FFFF-FFFF0A000000}">
      <tableStyleElement type="wholeTable" dxfId="285"/>
      <tableStyleElement type="headerRow" dxfId="284"/>
      <tableStyleElement type="totalRow" dxfId="283"/>
      <tableStyleElement type="firstColumn" dxfId="282"/>
      <tableStyleElement type="lastColumn" dxfId="281"/>
      <tableStyleElement type="firstRowStripe" dxfId="280"/>
      <tableStyleElement type="firstColumnStripe" dxfId="279"/>
    </tableStyle>
    <tableStyle name="Shir Style 09 Lemon" pivot="0" count="7" xr9:uid="{00000000-0011-0000-FFFF-FFFF0B000000}">
      <tableStyleElement type="wholeTable" dxfId="278"/>
      <tableStyleElement type="headerRow" dxfId="277"/>
      <tableStyleElement type="totalRow" dxfId="276"/>
      <tableStyleElement type="firstColumn" dxfId="275"/>
      <tableStyleElement type="lastColumn" dxfId="274"/>
      <tableStyleElement type="firstRowStripe" dxfId="273"/>
      <tableStyleElement type="firstColumnStripe" dxfId="272"/>
    </tableStyle>
    <tableStyle name="Shir Style 10 Pink" pivot="0" count="7" xr9:uid="{00000000-0011-0000-FFFF-FFFF0C000000}">
      <tableStyleElement type="wholeTable" dxfId="271"/>
      <tableStyleElement type="headerRow" dxfId="270"/>
      <tableStyleElement type="totalRow" dxfId="269"/>
      <tableStyleElement type="firstColumn" dxfId="268"/>
      <tableStyleElement type="lastColumn" dxfId="267"/>
      <tableStyleElement type="firstRowStripe" dxfId="266"/>
      <tableStyleElement type="firstColumnStripe" dxfId="265"/>
    </tableStyle>
    <tableStyle name="Shir Style 11 Nude" pivot="0" count="7" xr9:uid="{00000000-0011-0000-FFFF-FFFF0D000000}">
      <tableStyleElement type="wholeTable" dxfId="264"/>
      <tableStyleElement type="headerRow" dxfId="263"/>
      <tableStyleElement type="totalRow" dxfId="262"/>
      <tableStyleElement type="firstColumn" dxfId="261"/>
      <tableStyleElement type="lastColumn" dxfId="260"/>
      <tableStyleElement type="firstRowStripe" dxfId="259"/>
      <tableStyleElement type="firstColumnStripe" dxfId="258"/>
    </tableStyle>
    <tableStyle name="Shir Style 12 Yellow" pivot="0" count="7" xr9:uid="{00000000-0011-0000-FFFF-FFFF0E000000}">
      <tableStyleElement type="wholeTable" dxfId="257"/>
      <tableStyleElement type="headerRow" dxfId="256"/>
      <tableStyleElement type="totalRow" dxfId="255"/>
      <tableStyleElement type="firstColumn" dxfId="254"/>
      <tableStyleElement type="lastColumn" dxfId="253"/>
      <tableStyleElement type="firstRowStripe" dxfId="252"/>
      <tableStyleElement type="firstColumnStripe" dxfId="251"/>
    </tableStyle>
    <tableStyle name="Shir Style 13 Torquoise" pivot="0" count="7" xr9:uid="{00000000-0011-0000-FFFF-FFFF0F000000}">
      <tableStyleElement type="wholeTable" dxfId="250"/>
      <tableStyleElement type="headerRow" dxfId="249"/>
      <tableStyleElement type="totalRow" dxfId="248"/>
      <tableStyleElement type="firstColumn" dxfId="247"/>
      <tableStyleElement type="lastColumn" dxfId="246"/>
      <tableStyleElement type="firstRowStripe" dxfId="245"/>
      <tableStyleElement type="firstColumnStripe" dxfId="244"/>
    </tableStyle>
    <tableStyle name="Shir Style 14 Violet" pivot="0" count="7" xr9:uid="{00000000-0011-0000-FFFF-FFFF10000000}">
      <tableStyleElement type="wholeTable" dxfId="243"/>
      <tableStyleElement type="headerRow" dxfId="242"/>
      <tableStyleElement type="totalRow" dxfId="241"/>
      <tableStyleElement type="firstColumn" dxfId="240"/>
      <tableStyleElement type="lastColumn" dxfId="239"/>
      <tableStyleElement type="firstRowStripe" dxfId="238"/>
      <tableStyleElement type="firstColumnStripe" dxfId="237"/>
    </tableStyle>
  </tableStyles>
  <colors>
    <mruColors>
      <color rgb="FFFFFF66"/>
      <color rgb="FFFFFF00"/>
      <color rgb="FFFFFF99"/>
      <color rgb="FFEBFEFC"/>
      <color rgb="FFD6F6F5"/>
      <color rgb="FF177390"/>
      <color rgb="FF8064A2"/>
      <color rgb="FF636568"/>
      <color rgb="FF2AA662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</xdr:colOff>
      <xdr:row>1</xdr:row>
      <xdr:rowOff>15241</xdr:rowOff>
    </xdr:from>
    <xdr:to>
      <xdr:col>4</xdr:col>
      <xdr:colOff>600075</xdr:colOff>
      <xdr:row>3</xdr:row>
      <xdr:rowOff>189823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E4D25-57EB-4C92-929B-5C93B527D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" y="100966"/>
          <a:ext cx="2392680" cy="555582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</xdr:row>
      <xdr:rowOff>28575</xdr:rowOff>
    </xdr:from>
    <xdr:to>
      <xdr:col>6</xdr:col>
      <xdr:colOff>152400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938878-C67E-4FF2-8FAC-CB21FD6E6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14300"/>
          <a:ext cx="57150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CF2C4B-F15B-4C07-9B52-E5F284D7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2691FA-871E-49F6-A5AD-B1F0D0C4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DBE306-39D9-42A7-A335-0A247740C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2A4B0-FEF8-47A1-8260-1DC9CA75E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D5348B-3A9D-4B08-9FD5-4857738448ED}" name="Tbl_A1_DateTimeFunctions_01" displayName="Tbl_A1_DateTimeFunctions_01" ref="B7:AE31" headerRowDxfId="236" dataDxfId="234" headerRowBorderDxfId="235">
  <tableColumns count="30">
    <tableColumn id="2" xr3:uid="{0CF83238-F961-499A-AE9F-B392A71E100E}" name="ID" totalsRowLabel="Total" dataDxfId="233" totalsRowDxfId="232"/>
    <tableColumn id="3" xr3:uid="{C1638AC8-3EBD-405E-8643-21DFBEFE25A5}" name="Work Start Date" dataDxfId="231" totalsRowDxfId="230"/>
    <tableColumn id="39" xr3:uid="{632E338D-FE4E-45A3-A0AF-895A71F40881}" name="Work Start Time" dataDxfId="229" totalsRowDxfId="228"/>
    <tableColumn id="5" xr3:uid="{7153CE74-62AE-46DB-AE37-D608317B6B47}" name="Start Date Year" totalsRowFunction="count" dataDxfId="227" dataCellStyle="Input"/>
    <tableColumn id="1" xr3:uid="{C2D61E48-7C4F-40E0-AF7C-724230517AB6}" name="Answer Status Q01" dataDxfId="226" totalsRowDxfId="225">
      <calculatedColumnFormula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calculatedColumnFormula>
    </tableColumn>
    <tableColumn id="6" xr3:uid="{D3BC792A-F10F-48D0-9220-28856B0BEA3B}" name="Start Date Year ANS" dataDxfId="224" dataCellStyle="Highlight Difference">
      <calculatedColumnFormula>YEAR(Tbl_A1_DateTimeFunctions_01[[#This Row],[Work Start Date]])</calculatedColumnFormula>
    </tableColumn>
    <tableColumn id="7" xr3:uid="{5FE37EBB-0A99-4448-BC1D-81FA4EA4BFAF}" name="Start Date Month" dataDxfId="223" dataCellStyle="Input"/>
    <tableColumn id="8" xr3:uid="{B8399690-57DA-4C47-92A3-008156557B3B}" name="Answer Status Q02" dataDxfId="222" totalsRowDxfId="221">
      <calculatedColumnFormula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calculatedColumnFormula>
    </tableColumn>
    <tableColumn id="9" xr3:uid="{85963CAC-5B22-426F-8D31-A5C32AE08D3D}" name="Start Date Month ANS" dataDxfId="220" totalsRowDxfId="219" dataCellStyle="Highlight Difference">
      <calculatedColumnFormula>MONTH(Tbl_A1_DateTimeFunctions_01[[#This Row],[Work Start Date]])</calculatedColumnFormula>
    </tableColumn>
    <tableColumn id="10" xr3:uid="{282BCB3F-661A-4E9B-B22D-C6D6E98686C5}" name="Start Date Day" dataDxfId="218" totalsRowDxfId="217"/>
    <tableColumn id="11" xr3:uid="{8ED4CF67-F1E7-4BB8-9D89-67B22C571338}" name="Answer Status Q03" dataDxfId="216" totalsRowDxfId="215">
      <calculatedColumnFormula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calculatedColumnFormula>
    </tableColumn>
    <tableColumn id="12" xr3:uid="{4E0493A4-828F-4A7A-9BA7-C1DC8D46D3A5}" name="Start Date Day ANS" dataDxfId="214" totalsRowDxfId="213">
      <calculatedColumnFormula>DAY(Tbl_A1_DateTimeFunctions_01[[#This Row],[Work Start Date]])</calculatedColumnFormula>
    </tableColumn>
    <tableColumn id="13" xr3:uid="{8A09C43F-CC68-4882-B879-40C882725496}" name="3 Months and 5 Days Before Start Date" dataDxfId="212" totalsRowDxfId="211"/>
    <tableColumn id="14" xr3:uid="{11214031-0385-419C-995C-7491D9777023}" name="Answer Status Q04" dataDxfId="210" totalsRowDxfId="209">
      <calculatedColumnFormula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calculatedColumnFormula>
    </tableColumn>
    <tableColumn id="15" xr3:uid="{66DD96D5-A2E1-4663-84C1-D41EE8B4550D}" name="3 Months and 5 Days Before Start Date ANS" dataDxfId="208" totalsRowDxfId="207">
      <calculatedColumnFormula>DATE(Tbl_A1_DateTimeFunctions_01[[#This Row],[Start Date Year]],Tbl_A1_DateTimeFunctions_01[[#This Row],[Start Date Month]]-3,Tbl_A1_DateTimeFunctions_01[[#This Row],[Start Date Day]]-5)</calculatedColumnFormula>
    </tableColumn>
    <tableColumn id="20" xr3:uid="{A360F849-93AF-47FC-A99C-30E8D72EDE99}" name="Start Date Weekday (1-7)" dataDxfId="206" totalsRowDxfId="205"/>
    <tableColumn id="21" xr3:uid="{FCCD88B8-E140-4A9A-8C3D-31A685A1AA62}" name="Answer Status Q05" dataDxfId="204" totalsRowDxfId="203">
      <calculatedColumnFormula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calculatedColumnFormula>
    </tableColumn>
    <tableColumn id="22" xr3:uid="{786DC56E-2886-4569-A891-39AB6A97A41F}" name="Start Date Weekday (1-7) ANS" dataDxfId="202" totalsRowDxfId="201">
      <calculatedColumnFormula>WEEKDAY(Tbl_A1_DateTimeFunctions_01[[#This Row],[Work Start Date]])</calculatedColumnFormula>
    </tableColumn>
    <tableColumn id="19" xr3:uid="{0CA9BBED-9814-4CAF-ADE3-290B386A12E9}" name="Start Time Hour (0-24)" dataDxfId="200" totalsRowDxfId="199"/>
    <tableColumn id="27" xr3:uid="{2CB95BA8-92CB-4681-A72A-C79E5F46089B}" name="Answer Status Q06" dataDxfId="198" totalsRowDxfId="197">
      <calculatedColumnFormula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calculatedColumnFormula>
    </tableColumn>
    <tableColumn id="28" xr3:uid="{C9EF2507-4D7B-47EA-A29D-1C5518E72002}" name="Start Time Hour (1-24) ANS" dataDxfId="196" totalsRowDxfId="195">
      <calculatedColumnFormula>HOUR(Tbl_A1_DateTimeFunctions_01[[#This Row],[Work Start Time]])</calculatedColumnFormula>
    </tableColumn>
    <tableColumn id="29" xr3:uid="{E46533D8-DACC-4146-A17F-DE79B13692D4}" name="Start Time Minute" dataDxfId="194" totalsRowDxfId="193"/>
    <tableColumn id="30" xr3:uid="{4C871BF0-1E35-474D-A0EA-86EE6F9B8080}" name="Answer Status Q07" dataDxfId="192" totalsRowDxfId="191">
      <calculatedColumnFormula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calculatedColumnFormula>
    </tableColumn>
    <tableColumn id="31" xr3:uid="{05A24D8C-7E25-45B1-A49E-E6C38FF8060B}" name="Start Time Minute ANS" dataDxfId="190" totalsRowDxfId="189">
      <calculatedColumnFormula>MINUTE(Tbl_A1_DateTimeFunctions_01[[#This Row],[Work Start Time]])</calculatedColumnFormula>
    </tableColumn>
    <tableColumn id="41" xr3:uid="{11E62905-CFC3-4C66-82E2-E4608708076A}" name="Start Time Second" dataDxfId="188" totalsRowDxfId="187"/>
    <tableColumn id="42" xr3:uid="{9655B182-1B5D-457D-9908-78211C576C05}" name="Answer Status Q08" dataDxfId="186" totalsRowDxfId="185">
      <calculatedColumnFormula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calculatedColumnFormula>
    </tableColumn>
    <tableColumn id="43" xr3:uid="{1B20CB1D-C06D-4157-9A12-7DD0366F2415}" name="Start Time Second ANS" dataDxfId="184" totalsRowDxfId="183">
      <calculatedColumnFormula>SECOND(Tbl_A1_DateTimeFunctions_01[[#This Row],[Work Start Time]])</calculatedColumnFormula>
    </tableColumn>
    <tableColumn id="36" xr3:uid="{A38D16C8-A492-4C70-964C-525AA6FAEEB9}" name="2 Hours and 10 Minutes After Start Time" dataDxfId="182" totalsRowDxfId="181" dataCellStyle="Highlight Difference"/>
    <tableColumn id="37" xr3:uid="{3484E94C-66F2-4B03-AB7B-037682BDE51B}" name="Answer Status Q09" dataDxfId="180" totalsRowDxfId="179" dataCellStyle="Highlight Difference">
      <calculatedColumnFormula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calculatedColumnFormula>
    </tableColumn>
    <tableColumn id="38" xr3:uid="{29A15100-8DE4-4A39-98CE-D573160A36B6}" name="2 Hours and 10 Minutes After Start Time ANS" dataDxfId="178" totalsRowDxfId="177" dataCellStyle="Highlight Difference">
      <calculatedColumnFormula>TIME(Tbl_A1_DateTimeFunctions_01[[#This Row],[Start Time Hour (0-24)]]+2,Tbl_A1_DateTimeFunctions_01[[#This Row],[Start Time Minute]]+10,Tbl_A1_DateTimeFunctions_01[[#This Row],[Start Time Second]])</calculatedColumnFormula>
    </tableColumn>
  </tableColumns>
  <tableStyleInfo name="Excel Minimal 05 Purp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F0E507-5309-4119-9D43-BA62B45BD82E}" name="Tbl_BONUS_01_DateTimeFunctions_01" displayName="Tbl_BONUS_01_DateTimeFunctions_01" ref="B7:AE31" headerRowDxfId="176" dataDxfId="174" headerRowBorderDxfId="175">
  <tableColumns count="30">
    <tableColumn id="2" xr3:uid="{F49A33C0-FCF3-48B0-B175-F7F66833C34C}" name="ID" totalsRowLabel="Total" dataDxfId="173" totalsRowDxfId="172"/>
    <tableColumn id="3" xr3:uid="{387A2BEE-7065-46E4-BB04-3B06B7B65691}" name="Work Start Date" dataDxfId="171" totalsRowDxfId="170"/>
    <tableColumn id="39" xr3:uid="{D1E25EFF-BC46-43DE-88B3-8B95BCE97B5F}" name="Work End Date" dataDxfId="169" totalsRowDxfId="168"/>
    <tableColumn id="5" xr3:uid="{8254F667-A5E1-45A0-96E2-6C0129E1344F}" name="Days of Work (End Date MINUS Start Date)" totalsRowFunction="count" dataDxfId="167" dataCellStyle="Input"/>
    <tableColumn id="1" xr3:uid="{62E62B3F-25E3-4240-90A1-69247024358A}" name="Answer Status Q01" dataDxfId="166" totalsRowDxfId="165">
      <calculatedColumnFormula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calculatedColumnFormula>
    </tableColumn>
    <tableColumn id="6" xr3:uid="{DBFD1BDA-FD1F-457A-85EB-C74B919497E4}" name="Days of Work (End Date MINUS Start Date) ANS" dataDxfId="164" dataCellStyle="Highlight Difference">
      <calculatedColumnFormula>Tbl_BONUS_01_DateTimeFunctions_01[[#This Row],[Work End Date]]-Tbl_BONUS_01_DateTimeFunctions_01[[#This Row],[Work Start Date]]</calculatedColumnFormula>
    </tableColumn>
    <tableColumn id="7" xr3:uid="{307E6204-147A-4436-AA88-B9111D0CAC83}" name="Years of Work (Days DIVIDED by 365.25)" dataDxfId="163" dataCellStyle="Input"/>
    <tableColumn id="8" xr3:uid="{9B0B9837-89DE-47E2-AE92-EDE3F75C5F8B}" name="Answer Status Q02" dataDxfId="162" totalsRowDxfId="161">
      <calculatedColumnFormula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calculatedColumnFormula>
    </tableColumn>
    <tableColumn id="9" xr3:uid="{423D0359-D7CB-4C32-A54E-3B82E178D741}" name="Years of Work (Days DIVIDED by 365.25) ANS" dataDxfId="160" totalsRowDxfId="159" dataCellStyle="Highlight Difference">
      <calculatedColumnFormula>Tbl_BONUS_01_DateTimeFunctions_01[[#This Row],[Days of Work (End Date MINUS Start Date)]]/365.25</calculatedColumnFormula>
    </tableColumn>
    <tableColumn id="10" xr3:uid="{6CB49D3E-AB42-4F5E-BB75-94FD037E85E0}" name="Years of Work (&quot;Y&quot;)" dataDxfId="158" totalsRowDxfId="157"/>
    <tableColumn id="11" xr3:uid="{20407CF1-781F-42E8-8958-B11B6B11E046}" name="Answer Status Q03" dataDxfId="156" totalsRowDxfId="155">
      <calculatedColumnFormula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calculatedColumnFormula>
    </tableColumn>
    <tableColumn id="12" xr3:uid="{07EA53EA-9EC7-4BEA-B204-15CAC2326BEA}" name="Years of Work (&quot;Y&quot;) ANS" dataDxfId="154" totalsRowDxfId="153">
      <calculatedColumnFormula>DATEDIF(Tbl_BONUS_01_DateTimeFunctions_01[[#This Row],[Work Start Date]],Tbl_BONUS_01_DateTimeFunctions_01[[#This Row],[Work End Date]],"Y")</calculatedColumnFormula>
    </tableColumn>
    <tableColumn id="13" xr3:uid="{B9EED2AD-D6DB-48A7-AA0D-1D2DF315757C}" name="Months of Work (&quot;M&quot;)" dataDxfId="152" totalsRowDxfId="151"/>
    <tableColumn id="14" xr3:uid="{C091A93D-80B4-4836-9923-EF5BA01E9C2B}" name="Answer Status Q04" dataDxfId="150" totalsRowDxfId="149">
      <calculatedColumnFormula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calculatedColumnFormula>
    </tableColumn>
    <tableColumn id="15" xr3:uid="{72F721BB-34DB-4CC1-BC9A-1D97B2CF2A17}" name="Months of Work (&quot;M&quot;) ANS" dataDxfId="148" totalsRowDxfId="147">
      <calculatedColumnFormula>DATEDIF(Tbl_BONUS_01_DateTimeFunctions_01[[#This Row],[Work Start Date]],Tbl_BONUS_01_DateTimeFunctions_01[[#This Row],[Work End Date]],"M")</calculatedColumnFormula>
    </tableColumn>
    <tableColumn id="20" xr3:uid="{A3795305-4178-4FF2-8BA9-C883301B59BF}" name="Days of Work (&quot;D&quot;)" dataDxfId="146" totalsRowDxfId="145"/>
    <tableColumn id="21" xr3:uid="{91F035DB-D11D-4741-BF47-6AA63848DD46}" name="Answer Status Q05" dataDxfId="144" totalsRowDxfId="143">
      <calculatedColumnFormula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calculatedColumnFormula>
    </tableColumn>
    <tableColumn id="22" xr3:uid="{AD2B9BE4-B3AD-4182-85D3-A2E028F86C0B}" name="Days of Work (&quot;D&quot;) ANS" dataDxfId="142" totalsRowDxfId="141">
      <calculatedColumnFormula>DATEDIF(Tbl_BONUS_01_DateTimeFunctions_01[[#This Row],[Work Start Date]],Tbl_BONUS_01_DateTimeFunctions_01[[#This Row],[Work End Date]],"D")</calculatedColumnFormula>
    </tableColumn>
    <tableColumn id="19" xr3:uid="{B0234012-0D58-4FF9-81B9-6DF693C03AC6}" name="Years of Work (&quot;Y&quot;) - Same as Q#3" dataDxfId="140" totalsRowDxfId="139"/>
    <tableColumn id="27" xr3:uid="{2D2B33E1-C257-4A10-95CA-9E2BC18AE5A8}" name="Answer Status Q06" dataDxfId="138" totalsRowDxfId="137">
      <calculatedColumnFormula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calculatedColumnFormula>
    </tableColumn>
    <tableColumn id="28" xr3:uid="{7F211875-EE62-4682-807A-9581A37011BB}" name="Years of Work (&quot;Y&quot;) - Same as Q#3 ANS" dataDxfId="136" totalsRowDxfId="135">
      <calculatedColumnFormula>DATEDIF(Tbl_BONUS_01_DateTimeFunctions_01[[#This Row],[Work Start Date]],Tbl_BONUS_01_DateTimeFunctions_01[[#This Row],[Work End Date]],"Y")</calculatedColumnFormula>
    </tableColumn>
    <tableColumn id="29" xr3:uid="{E0FB224F-5151-4004-B40D-FA28C680B9E6}" name="Remaining Months of Work (&quot;YM&quot;)" dataDxfId="134" totalsRowDxfId="133"/>
    <tableColumn id="30" xr3:uid="{28F39AB6-3243-4DBE-AFEA-8A829C7A8D88}" name="Answer Status Q07" dataDxfId="132" totalsRowDxfId="131">
      <calculatedColumnFormula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calculatedColumnFormula>
    </tableColumn>
    <tableColumn id="31" xr3:uid="{2259ED20-B9BF-49F4-A659-BFE35F6722E8}" name="Remaining Months of Work (&quot;YM&quot;) ANS" dataDxfId="130" totalsRowDxfId="129">
      <calculatedColumnFormula>DATEDIF(Tbl_BONUS_01_DateTimeFunctions_01[[#This Row],[Work Start Date]],Tbl_BONUS_01_DateTimeFunctions_01[[#This Row],[Work End Date]],"YM")</calculatedColumnFormula>
    </tableColumn>
    <tableColumn id="41" xr3:uid="{ED47CB5F-6AA2-4925-8D30-99AFCEC8BD0F}" name="Remaining Days of Work (&quot;MD&quot;)" dataDxfId="128" totalsRowDxfId="127"/>
    <tableColumn id="42" xr3:uid="{AA719D1A-6C09-485C-AC4E-40CB485447DC}" name="Answer Status Q08" dataDxfId="126" totalsRowDxfId="125">
      <calculatedColumnFormula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calculatedColumnFormula>
    </tableColumn>
    <tableColumn id="43" xr3:uid="{99E36485-6B6D-493E-B2A1-F58A76FA101B}" name="Remaining Days of Work (&quot;MD&quot;) ANS" dataDxfId="124" totalsRowDxfId="123">
      <calculatedColumnFormula>DATEDIF(Tbl_BONUS_01_DateTimeFunctions_01[[#This Row],[Work Start Date]],Tbl_BONUS_01_DateTimeFunctions_01[[#This Row],[Work End Date]],"MD")</calculatedColumnFormula>
    </tableColumn>
    <tableColumn id="36" xr3:uid="{C4FC16F1-BD70-48A4-A51F-F41B18383F77}" name="Duration of Work (&quot;x years, x months, x days&quot;)" dataDxfId="122" totalsRowDxfId="121" dataCellStyle="Highlight Difference"/>
    <tableColumn id="37" xr3:uid="{9109B6EB-7997-4B60-A7D0-FECF07787E45}" name="Answer Status Q09" dataDxfId="120" totalsRowDxfId="119" dataCellStyle="Highlight Difference">
      <calculatedColumnFormula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calculatedColumnFormula>
    </tableColumn>
    <tableColumn id="38" xr3:uid="{FBC766B0-E6B4-4EB3-B8B2-0C76CF12A109}" name="Duration of Work (&quot;x years, x months, x days&quot;) ANS" dataDxfId="118" totalsRowDxfId="117" dataCellStyle="Highlight Difference">
      <calculatedColumnFormula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calculatedColumnFormula>
    </tableColumn>
  </tableColumns>
  <tableStyleInfo name="Excel Minimal 09 Yellow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AF65F19-4BAF-4A2F-A473-103AB7BA6F2E}" name="Tbl_B2_LogicalFunctions_01" displayName="Tbl_B2_LogicalFunctions_01" ref="B9:AH33" headerRowDxfId="116" dataDxfId="114" headerRowBorderDxfId="115">
  <tableColumns count="33">
    <tableColumn id="2" xr3:uid="{7EF4D80E-C782-4D59-B6B6-981A7E99A0FE}" name="ID" totalsRowLabel="Total" dataDxfId="113" totalsRowDxfId="112"/>
    <tableColumn id="25" xr3:uid="{681BC5E4-E8DC-4490-91DE-5530A7F62A1B}" name="Vendor Name" dataDxfId="111" totalsRowDxfId="110"/>
    <tableColumn id="4" xr3:uid="{67D570EC-606E-4A2B-AEC3-CAA314238419}" name="Start Date" dataDxfId="109"/>
    <tableColumn id="23" xr3:uid="{555476D4-273E-455D-8F78-A63A736E7738}" name="Start Year" dataDxfId="108">
      <calculatedColumnFormula>YEAR(Tbl_B2_LogicalFunctions_01[[#This Row],[Start Date]])</calculatedColumnFormula>
    </tableColumn>
    <tableColumn id="5" xr3:uid="{5C3DD379-CE58-461E-AE0D-66D76D30D384}" name="Vendor is &quot;Jig Is Up&quot; (Y/N)" totalsRowFunction="count" dataDxfId="107" dataCellStyle="Input"/>
    <tableColumn id="1" xr3:uid="{609C3880-BAEF-4171-9C42-323C26AA4FA0}" name="Answer Status Q01" dataDxfId="106" totalsRowDxfId="105">
      <calculatedColumnFormula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calculatedColumnFormula>
    </tableColumn>
    <tableColumn id="6" xr3:uid="{76A34E94-379B-4332-8552-3B6EE168C703}" name="Vendor is &quot;Jig Is Up&quot; (Y/N) ANS" dataDxfId="104" dataCellStyle="Highlight Difference">
      <calculatedColumnFormula>IF(Tbl_B2_LogicalFunctions_01[[#This Row],[Vendor Name]]="Jig is Up","Y","N")</calculatedColumnFormula>
    </tableColumn>
    <tableColumn id="7" xr3:uid="{D8934A13-A72F-4853-B65E-2A08B352D939}" name="Start Year is 2018 (Y/N)" dataDxfId="103" dataCellStyle="Input"/>
    <tableColumn id="8" xr3:uid="{1CBF0C8E-8C1A-4CCD-A1D0-A4386241837F}" name="Answer Status Q02" dataDxfId="102" totalsRowDxfId="101">
      <calculatedColumnFormula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calculatedColumnFormula>
    </tableColumn>
    <tableColumn id="9" xr3:uid="{DE210866-45A1-416B-98EF-220195425AFA}" name="Start Year is 2018 (Y/N) ANS" dataDxfId="100" totalsRowDxfId="99" dataCellStyle="Highlight Difference">
      <calculatedColumnFormula>IF(Tbl_B2_LogicalFunctions_01[[#This Row],[Start Year]]=2018,"Y","N")</calculatedColumnFormula>
    </tableColumn>
    <tableColumn id="34" xr3:uid="{0ADC3158-67AD-4A86-9833-E78715600697}" name="End Date" dataDxfId="98" totalsRowDxfId="97" dataCellStyle="Highlight Difference"/>
    <tableColumn id="10" xr3:uid="{36185304-DF89-433B-B3DA-2E6AE90F4863}" name="Has End Date (Y/N)" dataDxfId="96" totalsRowDxfId="95"/>
    <tableColumn id="11" xr3:uid="{EB9E8312-BB54-4BA9-9FEC-B5A084B6F08F}" name="Answer Status Q03" dataDxfId="94" totalsRowDxfId="93">
      <calculatedColumnFormula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calculatedColumnFormula>
    </tableColumn>
    <tableColumn id="12" xr3:uid="{FCFE0696-EB67-445D-9B29-B186D2C07B15}" name="Has End Date (Y/N) ANS" dataDxfId="92" totalsRowDxfId="91">
      <calculatedColumnFormula>IF(Tbl_B2_LogicalFunctions_01[[#This Row],[End Date]]="","N","Y")</calculatedColumnFormula>
    </tableColumn>
    <tableColumn id="13" xr3:uid="{54810C9A-8046-4CFC-92AE-0FABF2B2885B}" name="Start Date is After 3/6/18 (Y/N)" dataDxfId="90" totalsRowDxfId="89"/>
    <tableColumn id="14" xr3:uid="{E7EEDAD5-BBE1-4168-8330-184905C38612}" name="Answer Status Q04" dataDxfId="88" totalsRowDxfId="87">
      <calculatedColumnFormula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calculatedColumnFormula>
    </tableColumn>
    <tableColumn id="15" xr3:uid="{FF602997-2A02-41A1-943D-4C5770EB0E7C}" name="Start Date is After 3/6/18 (Y/N) ANS" dataDxfId="86" totalsRowDxfId="85">
      <calculatedColumnFormula>IF(Tbl_B2_LogicalFunctions_01[[#This Row],[Start Date]]&gt;$P$4,"Y","N")</calculatedColumnFormula>
    </tableColumn>
    <tableColumn id="20" xr3:uid="{F225543A-9FF8-4046-AE50-66F335D25D09}" name="Vendor is &quot;Jig Is Up&quot; AND Start Year is 2018 (TRUE/FALSE)" dataDxfId="84" totalsRowDxfId="83"/>
    <tableColumn id="21" xr3:uid="{4866B06C-DFE3-4B66-A5DC-F2049C333B20}" name="Answer Status Q05" dataDxfId="82" totalsRowDxfId="81">
      <calculatedColumnFormula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calculatedColumnFormula>
    </tableColumn>
    <tableColumn id="22" xr3:uid="{B5862C5D-2F7C-413A-A35D-55B9EC46973D}" name="Vendor is &quot;Jig Is Up&quot; AND Start Year is 2018 (TRUE/FALSE) ANS" dataDxfId="80" totalsRowDxfId="79">
      <calculatedColumnFormula>AND(Tbl_B2_LogicalFunctions_01[[#This Row],[Vendor Name]]="Jig is Up",Tbl_B2_LogicalFunctions_01[[#This Row],[Start Year]]=2018)</calculatedColumnFormula>
    </tableColumn>
    <tableColumn id="19" xr3:uid="{9562FA92-1E58-4A02-886D-0551A8608234}" name="Vendor is &quot;Jig Is Up&quot; OR Start Year is 2018 (TRUE/FALSE)" dataDxfId="78" totalsRowDxfId="77"/>
    <tableColumn id="27" xr3:uid="{72D7C1AE-3699-42E7-B6F8-9336E092C5E5}" name="Answer Status Q06" dataDxfId="76" totalsRowDxfId="75">
      <calculatedColumnFormula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calculatedColumnFormula>
    </tableColumn>
    <tableColumn id="28" xr3:uid="{66DC96DE-6E43-4634-8942-279C2A944966}" name="Vendor is &quot;Jig Is Up&quot; OR Start Year is 2018 (TRUE/FALSE) ANS" dataDxfId="74" totalsRowDxfId="73">
      <calculatedColumnFormula>OR(Tbl_B2_LogicalFunctions_01[[#This Row],[Vendor Name]]="Jig is Up",Tbl_B2_LogicalFunctions_01[[#This Row],[Start Year]]=2018)</calculatedColumnFormula>
    </tableColumn>
    <tableColumn id="3" xr3:uid="{B4F7A026-CE7E-4DE4-BE30-17FE813169A9}" name="Vendor is NOT &quot;Jig Is Up&quot; (TRUE/FALSE)" dataDxfId="72" totalsRowDxfId="71" dataCellStyle="Input"/>
    <tableColumn id="16" xr3:uid="{F857E55D-147B-4834-B9B6-49DF35F2C730}" name="Answer Status Q07" dataDxfId="70" totalsRowDxfId="69" dataCellStyle="Highlight Difference">
      <calculatedColumnFormula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calculatedColumnFormula>
    </tableColumn>
    <tableColumn id="17" xr3:uid="{D26E53F5-FC71-46EF-B076-7395B981B5AA}" name="Vendor is NOT &quot;Jig Is Up&quot; (TRUE/FALSE) ANS" dataDxfId="68" totalsRowDxfId="67" dataCellStyle="Highlight Difference">
      <calculatedColumnFormula>NOT(Tbl_B2_LogicalFunctions_01[[#This Row],[Vendor Name]]="Jig Is Up")</calculatedColumnFormula>
    </tableColumn>
    <tableColumn id="18" xr3:uid="{40ED162F-2241-4AA9-B34F-56D5687BFAF3}" name="Vendor is Not Equal to &quot;Jig Is Up&quot; (TRUE/FALSE)" dataDxfId="66" totalsRowDxfId="65" dataCellStyle="Input"/>
    <tableColumn id="24" xr3:uid="{475CC2DC-4DD5-4898-9E36-44923D52BA74}" name="Answer Status Q08" dataDxfId="64" totalsRowDxfId="63" dataCellStyle="Highlight Difference">
      <calculatedColumnFormula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calculatedColumnFormula>
    </tableColumn>
    <tableColumn id="32" xr3:uid="{9ABC4D61-B796-45AD-AEBF-D7F58A9A1CD7}" name="Vendor is Not Equal to &quot;Jig Is Up&quot; (TRUE/FALSE) ANS" dataDxfId="62" totalsRowDxfId="61" dataCellStyle="Highlight Difference">
      <calculatedColumnFormula>Tbl_B2_LogicalFunctions_01[[#This Row],[Vendor Name]]&lt;&gt;"Jig Is Up"</calculatedColumnFormula>
    </tableColumn>
    <tableColumn id="33" xr3:uid="{B40B0170-E8CD-4030-8895-B1F2EE62720A}" name="Vendor Grade (With #N/A Errors)" dataDxfId="60" totalsRowDxfId="59" dataCellStyle="Normal"/>
    <tableColumn id="29" xr3:uid="{F3B1388D-9544-4036-AA6C-0E8FD6AF9780}" name="Vendor Grade (&quot;Invalid&quot; Instead of #N/A Errors)" dataDxfId="58" totalsRowDxfId="57"/>
    <tableColumn id="30" xr3:uid="{AFDA7E6A-718B-425B-9B58-6D861808BF27}" name="Answer Status Q09" dataDxfId="56" totalsRowDxfId="55">
      <calculatedColumnFormula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calculatedColumnFormula>
    </tableColumn>
    <tableColumn id="31" xr3:uid="{EC3C121E-70E7-44BC-8394-C1EB173019FF}" name="Vendor Grade (&quot;Invalid&quot; Instead of #N/A Errors) ANS" dataDxfId="54" totalsRowDxfId="53">
      <calculatedColumnFormula>IFERROR(Tbl_B2_LogicalFunctions_01[[#This Row],[Vendor Grade (With '#N/A Errors)]],"Invalid")</calculatedColumnFormula>
    </tableColumn>
  </tableColumns>
  <tableStyleInfo name="Excel Minimal 07 Orang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4D73A9B-8C63-471A-B96B-EE7FDBB01D8D}" name="Tbl_BONUS_02_LogicalFunctions_01" displayName="Tbl_BONUS_02_LogicalFunctions_01" ref="B7:U31" headerRowDxfId="52" dataDxfId="50" headerRowBorderDxfId="51">
  <tableColumns count="20">
    <tableColumn id="2" xr3:uid="{9E8151B6-CD90-4710-A173-0D45247BDD16}" name="ID" totalsRowLabel="Total" dataDxfId="49" totalsRowDxfId="48"/>
    <tableColumn id="3" xr3:uid="{E1DD4D2A-730C-4FF5-B99E-33104C54354A}" name="Vendor Name" dataDxfId="47" totalsRowDxfId="46"/>
    <tableColumn id="16" xr3:uid="{3841EEE9-78CF-4A58-B3E5-FB72D5A17C40}" name="Contractor Name" dataDxfId="45" totalsRowDxfId="44"/>
    <tableColumn id="4" xr3:uid="{937796A0-89CA-4F99-AA53-4CA1513D2DEA}" name="Contractor Day Rate" dataDxfId="43"/>
    <tableColumn id="23" xr3:uid="{7572C54B-832F-4C1E-9B98-6ED890E6905E}" name="Contractor Grade" dataDxfId="42"/>
    <tableColumn id="5" xr3:uid="{4A595697-C689-402B-87DD-E8E333C74664}" name="Contractor Day Rate is Between 250 and 750 (TRUE/FALSE)" totalsRowFunction="count" dataDxfId="41" dataCellStyle="Input"/>
    <tableColumn id="1" xr3:uid="{08648B61-886C-4033-98A0-1BA7B4C77E05}" name="Answer Status Q01" dataDxfId="40" totalsRowDxfId="39">
      <calculatedColumnFormula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calculatedColumnFormula>
    </tableColumn>
    <tableColumn id="6" xr3:uid="{9065B7B1-B0F4-4B1B-A24D-620E532D1C53}" name="Contractor Day Rate is Between 250 and 750 (TRUE/FALSE) ANS" dataDxfId="38" dataCellStyle="Highlight Difference">
      <calculatedColumnFormula>AND(Tbl_BONUS_02_LogicalFunctions_01[[#This Row],[Contractor Day Rate]]&gt;250,Tbl_BONUS_02_LogicalFunctions_01[[#This Row],[Contractor Day Rate]]&lt;750)</calculatedColumnFormula>
    </tableColumn>
    <tableColumn id="7" xr3:uid="{114F34B5-D3AF-4E9C-A867-7C481601E336}" name="Contractor Day Rate is Between 250 and 750 (Y/N)" dataDxfId="37" dataCellStyle="Input"/>
    <tableColumn id="8" xr3:uid="{935FB511-6514-4A32-8F94-77DE30560242}" name="Answer Status Q02" dataDxfId="36" totalsRowDxfId="35">
      <calculatedColumnFormula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calculatedColumnFormula>
    </tableColumn>
    <tableColumn id="9" xr3:uid="{FDB66DA0-E8FA-40CC-97A8-D93309A1D5B7}" name="Contractor Day Rate is Between 250 and 750 (Y/N) ANS" dataDxfId="34" totalsRowDxfId="33" dataCellStyle="Highlight Difference">
      <calculatedColumnFormula>IF(AND(Tbl_BONUS_02_LogicalFunctions_01[[#This Row],[Contractor Day Rate]]&gt;250,Tbl_BONUS_02_LogicalFunctions_01[[#This Row],[Contractor Day Rate]]&lt;750),"Y","N")</calculatedColumnFormula>
    </tableColumn>
    <tableColumn id="10" xr3:uid="{11EA296C-B878-4065-B350-CB25ACC1EB6B}" name="If Grade A OR B, Then &quot;Great&quot;, Otherwise &quot;OK&quot;" dataDxfId="32" totalsRowDxfId="31"/>
    <tableColumn id="11" xr3:uid="{5BCF8E9E-1026-4365-9347-6CB2052BA369}" name="Answer Status Q03" dataDxfId="30" totalsRowDxfId="29">
      <calculatedColumnFormula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calculatedColumnFormula>
    </tableColumn>
    <tableColumn id="12" xr3:uid="{5AD76316-67E5-4509-9FE7-444DF46C955F}" name="If Grade A OR B, Then &quot;Great&quot;, Otherwise &quot;OK&quot; ANS" dataDxfId="28" totalsRowDxfId="27">
      <calculatedColumnFormula>IF(OR(Tbl_BONUS_02_LogicalFunctions_01[[#This Row],[Contractor Grade]]="A",Tbl_BONUS_02_LogicalFunctions_01[[#This Row],[Contractor Grade]]="B"),"Great","OK")</calculatedColumnFormula>
    </tableColumn>
    <tableColumn id="13" xr3:uid="{122E89B4-506E-4799-AAA5-0BF65EA0CACB}" name="If Grade A Then &quot;10% Discount&quot;, If Grade B Then &quot;5% Discount&quot;, Otherwise &quot;No Discount&quot;" dataDxfId="26"/>
    <tableColumn id="14" xr3:uid="{27A1E796-E3A3-43E3-9E7D-94B6568D04B1}" name="Answer Status Q04" dataDxfId="25" totalsRowDxfId="24">
      <calculatedColumnFormula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calculatedColumnFormula>
    </tableColumn>
    <tableColumn id="15" xr3:uid="{027B17DA-B9B4-4B98-A551-0DAB2B22EB2E}" name="If Grade A Then &quot;10% Discount&quot;, If Grade B Then &quot;5% Discount&quot;, Otherwise &quot;No Discount&quot; ANS" dataDxfId="23" totalsRowDxfId="22">
      <calculatedColumnFormula>IF(Tbl_BONUS_02_LogicalFunctions_01[[#This Row],[Contractor Grade]]="A","10% Discount",IF(Tbl_BONUS_02_LogicalFunctions_01[[#This Row],[Contractor Grade]]="B","5% Discount","No Discount"))</calculatedColumnFormula>
    </tableColumn>
    <tableColumn id="20" xr3:uid="{89EC750C-67EC-445F-93B6-8A7E3FBE1F3D}" name="If Vendor is &quot;Jig Is Up&quot; Or &quot;Cup Of Joe&quot;, And Grade is &quot;A&quot; or &quot;B&quot;, And Contractor Hourly Rate is Less Than $800, Then &quot;HIRE&quot;, Otherwise &quot;DO NOT HIRE&quot;" dataDxfId="21" totalsRowDxfId="20"/>
    <tableColumn id="21" xr3:uid="{D341CDC8-07A2-4F78-8F62-C0D5FEC57863}" name="Answer Status Q05" dataDxfId="19" totalsRowDxfId="18">
      <calculatedColumnFormula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calculatedColumnFormula>
    </tableColumn>
    <tableColumn id="22" xr3:uid="{05BC4F02-EACC-4F0C-B990-AE6A0351615C}" name="If Vendor is &quot;Jig Is Up&quot; Or &quot;Cup Of Joe&quot;, And Grade is &quot;A&quot; or &quot;B&quot;, And Contractor Hourly Rate is Less Than $800, Then &quot;HIRE&quot;, Otherwise &quot;DO NOT HIRE&quot; ANS" dataDxfId="17" totalsRowDxfId="16">
      <calculatedColumnFormula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calculatedColumnFormula>
    </tableColumn>
  </tableColumns>
  <tableStyleInfo name="Excel Minimal 04 Green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2C7441-ECBE-4085-B0DC-8767620C7246}" name="Tbl_Lkp_AnswerStatus" displayName="Tbl_Lkp_AnswerStatus" ref="A1:A3" totalsRowShown="0" headerRowDxfId="15" dataDxfId="13" headerRowBorderDxfId="14" dataCellStyle="Input">
  <tableColumns count="1">
    <tableColumn id="1" xr3:uid="{606B3AE7-9357-4585-9082-7623F6ECB3BD}" name="Answer Status" dataDxfId="12" dataCellStyle="Input"/>
  </tableColumns>
  <tableStyleInfo name="Shir Style 01 Gray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459937-BB06-4384-B2DC-C8246E4B493E}" name="Tbl_Lkp_YN" displayName="Tbl_Lkp_YN" ref="C1:C3" totalsRowShown="0" headerRowDxfId="11" dataDxfId="9" headerRowBorderDxfId="10" dataCellStyle="Input">
  <tableColumns count="1">
    <tableColumn id="1" xr3:uid="{BA323957-E49C-46CE-8727-E794AE383131}" name="YesNo" dataDxfId="8" dataCellStyle="Input"/>
  </tableColumns>
  <tableStyleInfo name="Shir Style 01 Gray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1944-ABE0-4A02-844C-908F9DABCDC0}">
  <sheetPr>
    <tabColor rgb="FFD6F6F5"/>
  </sheetPr>
  <dimension ref="B1:M18"/>
  <sheetViews>
    <sheetView showGridLines="0" tabSelected="1" zoomScaleNormal="100" workbookViewId="0"/>
  </sheetViews>
  <sheetFormatPr defaultColWidth="9.140625" defaultRowHeight="15" x14ac:dyDescent="0.25"/>
  <cols>
    <col min="1" max="1" width="2.5703125" style="1" customWidth="1"/>
    <col min="2" max="2" width="9.140625" style="1" customWidth="1"/>
    <col min="3" max="3" width="9.140625" style="1"/>
    <col min="4" max="4" width="9.140625" style="1" customWidth="1"/>
    <col min="5" max="16384" width="9.140625" style="1"/>
  </cols>
  <sheetData>
    <row r="1" spans="2:13" ht="6.95" customHeight="1" x14ac:dyDescent="0.25"/>
    <row r="5" spans="2:13" ht="6.95" customHeight="1" x14ac:dyDescent="0.25"/>
    <row r="6" spans="2:13" ht="46.5" x14ac:dyDescent="0.7">
      <c r="B6" s="2" t="s">
        <v>95</v>
      </c>
    </row>
    <row r="7" spans="2:13" ht="26.25" x14ac:dyDescent="0.4">
      <c r="B7" s="70" t="s">
        <v>96</v>
      </c>
    </row>
    <row r="8" spans="2:13" ht="6.95" customHeight="1" x14ac:dyDescent="0.25"/>
    <row r="9" spans="2:13" ht="21" x14ac:dyDescent="0.35">
      <c r="B9" s="5" t="s">
        <v>158</v>
      </c>
    </row>
    <row r="10" spans="2:13" ht="6.95" customHeight="1" x14ac:dyDescent="0.25"/>
    <row r="11" spans="2:13" ht="17.25" x14ac:dyDescent="0.3">
      <c r="B11" s="4" t="s">
        <v>159</v>
      </c>
      <c r="D11" s="4"/>
      <c r="F11" s="4"/>
      <c r="I11" s="4"/>
      <c r="M11" s="4"/>
    </row>
    <row r="12" spans="2:13" ht="6.95" customHeight="1" x14ac:dyDescent="0.3">
      <c r="B12" s="4"/>
      <c r="D12" s="4"/>
      <c r="F12" s="4"/>
      <c r="I12" s="4"/>
      <c r="M12" s="4"/>
    </row>
    <row r="13" spans="2:13" ht="17.25" x14ac:dyDescent="0.3">
      <c r="B13" s="4" t="s">
        <v>160</v>
      </c>
      <c r="D13" s="4"/>
      <c r="F13" s="4"/>
      <c r="G13" s="4" t="s">
        <v>161</v>
      </c>
      <c r="I13" s="4"/>
    </row>
    <row r="14" spans="2:13" ht="17.25" x14ac:dyDescent="0.3">
      <c r="B14" s="4" t="s">
        <v>162</v>
      </c>
      <c r="D14" s="4"/>
      <c r="F14" s="4"/>
      <c r="G14" s="4" t="s">
        <v>163</v>
      </c>
      <c r="I14" s="4"/>
    </row>
    <row r="15" spans="2:13" ht="17.25" x14ac:dyDescent="0.3">
      <c r="B15" s="4"/>
    </row>
    <row r="16" spans="2:13" ht="17.25" x14ac:dyDescent="0.3">
      <c r="B16" s="4"/>
    </row>
    <row r="17" spans="2:2" ht="17.25" x14ac:dyDescent="0.3">
      <c r="B17" s="4"/>
    </row>
    <row r="18" spans="2:2" ht="17.25" x14ac:dyDescent="0.3">
      <c r="B18" s="4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06BA-1D53-48BB-96FD-2BBE20D50794}">
  <sheetPr>
    <tabColor rgb="FFD6F6F5"/>
  </sheetPr>
  <dimension ref="B1:K35"/>
  <sheetViews>
    <sheetView showGridLines="0" zoomScaleNormal="100" workbookViewId="0"/>
  </sheetViews>
  <sheetFormatPr defaultColWidth="9.140625" defaultRowHeight="17.25" x14ac:dyDescent="0.3"/>
  <cols>
    <col min="1" max="1" width="2.5703125" style="4" customWidth="1"/>
    <col min="2" max="2" width="2.7109375" style="4" customWidth="1"/>
    <col min="3" max="3" width="3.140625" style="4" customWidth="1"/>
    <col min="4" max="4" width="16.140625" style="4" customWidth="1"/>
    <col min="5" max="5" width="4.7109375" style="4" customWidth="1"/>
    <col min="6" max="6" width="3.85546875" style="4" customWidth="1"/>
    <col min="7" max="7" width="22" style="4" customWidth="1"/>
    <col min="8" max="8" width="4.7109375" style="4" customWidth="1"/>
    <col min="9" max="9" width="7.140625" style="4" customWidth="1"/>
    <col min="10" max="10" width="14" style="4" bestFit="1" customWidth="1"/>
    <col min="11" max="11" width="71.140625" style="4" bestFit="1" customWidth="1"/>
    <col min="12" max="16384" width="9.140625" style="4"/>
  </cols>
  <sheetData>
    <row r="1" spans="2:11" ht="26.25" x14ac:dyDescent="0.4">
      <c r="B1" s="70" t="s">
        <v>159</v>
      </c>
    </row>
    <row r="2" spans="2:11" ht="21" x14ac:dyDescent="0.35">
      <c r="B2" s="5" t="s">
        <v>97</v>
      </c>
    </row>
    <row r="3" spans="2:11" x14ac:dyDescent="0.3">
      <c r="B3" s="43">
        <v>1</v>
      </c>
      <c r="C3" s="43" t="s">
        <v>225</v>
      </c>
    </row>
    <row r="4" spans="2:11" x14ac:dyDescent="0.3">
      <c r="D4" s="4" t="s">
        <v>99</v>
      </c>
    </row>
    <row r="5" spans="2:11" x14ac:dyDescent="0.3">
      <c r="D5" s="4" t="s">
        <v>226</v>
      </c>
    </row>
    <row r="6" spans="2:11" x14ac:dyDescent="0.3">
      <c r="C6" s="43" t="s">
        <v>227</v>
      </c>
    </row>
    <row r="7" spans="2:11" x14ac:dyDescent="0.3">
      <c r="C7" s="4" t="s">
        <v>149</v>
      </c>
      <c r="D7" s="115" t="s">
        <v>228</v>
      </c>
    </row>
    <row r="8" spans="2:11" x14ac:dyDescent="0.3">
      <c r="C8" s="4" t="s">
        <v>151</v>
      </c>
      <c r="D8" s="4" t="s">
        <v>229</v>
      </c>
    </row>
    <row r="9" spans="2:11" x14ac:dyDescent="0.3">
      <c r="C9" s="4" t="s">
        <v>153</v>
      </c>
      <c r="D9" s="4" t="s">
        <v>230</v>
      </c>
    </row>
    <row r="10" spans="2:11" x14ac:dyDescent="0.3">
      <c r="C10" s="4" t="s">
        <v>155</v>
      </c>
      <c r="D10" s="4" t="s">
        <v>231</v>
      </c>
    </row>
    <row r="12" spans="2:11" x14ac:dyDescent="0.3">
      <c r="B12" s="43">
        <v>2</v>
      </c>
      <c r="C12" s="43" t="s">
        <v>100</v>
      </c>
    </row>
    <row r="13" spans="2:11" x14ac:dyDescent="0.3">
      <c r="C13" s="71" t="s">
        <v>101</v>
      </c>
      <c r="D13" s="1"/>
      <c r="E13" s="72"/>
      <c r="F13" s="71" t="s">
        <v>102</v>
      </c>
      <c r="G13" s="1"/>
      <c r="H13" s="1"/>
      <c r="I13" s="71" t="s">
        <v>103</v>
      </c>
      <c r="J13" s="1"/>
      <c r="K13" s="1"/>
    </row>
    <row r="14" spans="2:11" x14ac:dyDescent="0.3">
      <c r="C14" s="73" t="s">
        <v>104</v>
      </c>
      <c r="D14" s="73" t="s">
        <v>105</v>
      </c>
      <c r="E14" s="1"/>
      <c r="F14" s="73" t="s">
        <v>106</v>
      </c>
      <c r="G14" s="73" t="s">
        <v>107</v>
      </c>
      <c r="H14" s="1"/>
      <c r="I14" s="73" t="s">
        <v>108</v>
      </c>
      <c r="J14" s="73" t="s">
        <v>109</v>
      </c>
      <c r="K14" s="73" t="s">
        <v>110</v>
      </c>
    </row>
    <row r="15" spans="2:11" x14ac:dyDescent="0.3">
      <c r="C15" s="1" t="s">
        <v>111</v>
      </c>
      <c r="D15" s="1" t="s">
        <v>112</v>
      </c>
      <c r="E15" s="1"/>
      <c r="F15" s="1" t="s">
        <v>113</v>
      </c>
      <c r="G15" s="1" t="s">
        <v>114</v>
      </c>
      <c r="H15" s="1"/>
      <c r="I15" s="1" t="s">
        <v>115</v>
      </c>
      <c r="J15" s="1" t="s">
        <v>116</v>
      </c>
      <c r="K15" s="1" t="s">
        <v>117</v>
      </c>
    </row>
    <row r="16" spans="2:11" x14ac:dyDescent="0.3">
      <c r="C16" s="73" t="s">
        <v>118</v>
      </c>
      <c r="D16" s="73" t="s">
        <v>119</v>
      </c>
      <c r="E16" s="1"/>
      <c r="F16" s="73" t="s">
        <v>120</v>
      </c>
      <c r="G16" s="73" t="s">
        <v>121</v>
      </c>
      <c r="H16" s="1"/>
      <c r="I16" s="1"/>
      <c r="J16" s="1"/>
      <c r="K16" s="1" t="s">
        <v>122</v>
      </c>
    </row>
    <row r="17" spans="2:11" x14ac:dyDescent="0.3">
      <c r="C17" s="1" t="str">
        <f>"/"</f>
        <v>/</v>
      </c>
      <c r="D17" s="1" t="s">
        <v>123</v>
      </c>
      <c r="E17" s="1"/>
      <c r="F17" s="1" t="s">
        <v>124</v>
      </c>
      <c r="G17" s="1" t="s">
        <v>125</v>
      </c>
      <c r="H17" s="1"/>
      <c r="I17" s="73" t="s">
        <v>126</v>
      </c>
      <c r="J17" s="73" t="s">
        <v>127</v>
      </c>
      <c r="K17" s="73" t="s">
        <v>128</v>
      </c>
    </row>
    <row r="18" spans="2:11" x14ac:dyDescent="0.3">
      <c r="C18" s="73" t="s">
        <v>129</v>
      </c>
      <c r="D18" s="73" t="s">
        <v>130</v>
      </c>
      <c r="E18" s="1"/>
      <c r="F18" s="73" t="s">
        <v>131</v>
      </c>
      <c r="G18" s="73" t="s">
        <v>132</v>
      </c>
      <c r="H18" s="1"/>
      <c r="I18" s="1" t="s">
        <v>133</v>
      </c>
      <c r="J18" s="1" t="s">
        <v>134</v>
      </c>
      <c r="K18" s="1" t="s">
        <v>135</v>
      </c>
    </row>
    <row r="19" spans="2:11" x14ac:dyDescent="0.3">
      <c r="C19" s="1"/>
      <c r="D19" s="1"/>
      <c r="E19" s="1"/>
      <c r="F19" s="1" t="s">
        <v>136</v>
      </c>
      <c r="G19" s="1" t="s">
        <v>137</v>
      </c>
      <c r="H19" s="1"/>
      <c r="I19" s="73" t="s">
        <v>138</v>
      </c>
      <c r="J19" s="73" t="s">
        <v>139</v>
      </c>
      <c r="K19" s="73" t="s">
        <v>140</v>
      </c>
    </row>
    <row r="20" spans="2:11" x14ac:dyDescent="0.3">
      <c r="C20" s="1"/>
      <c r="D20" s="1"/>
      <c r="E20" s="1"/>
      <c r="F20" s="1"/>
      <c r="G20" s="1"/>
      <c r="H20" s="1"/>
      <c r="I20" s="1" t="s">
        <v>141</v>
      </c>
      <c r="J20" s="1" t="s">
        <v>142</v>
      </c>
      <c r="K20" s="1" t="s">
        <v>143</v>
      </c>
    </row>
    <row r="21" spans="2:11" x14ac:dyDescent="0.3">
      <c r="C21" s="1"/>
      <c r="D21" s="1"/>
      <c r="E21" s="1"/>
      <c r="F21" s="1"/>
      <c r="G21" s="1"/>
      <c r="H21" s="1"/>
      <c r="I21" s="74" t="str">
        <f>"'"</f>
        <v>'</v>
      </c>
      <c r="J21" s="73" t="s">
        <v>144</v>
      </c>
      <c r="K21" s="73" t="s">
        <v>145</v>
      </c>
    </row>
    <row r="23" spans="2:11" x14ac:dyDescent="0.3">
      <c r="B23" s="43">
        <v>3</v>
      </c>
      <c r="C23" s="43" t="s">
        <v>232</v>
      </c>
    </row>
    <row r="24" spans="2:11" x14ac:dyDescent="0.3">
      <c r="D24" s="116" t="s">
        <v>146</v>
      </c>
    </row>
    <row r="26" spans="2:11" x14ac:dyDescent="0.3">
      <c r="B26" s="43">
        <v>4</v>
      </c>
      <c r="C26" s="43" t="s">
        <v>147</v>
      </c>
    </row>
    <row r="27" spans="2:11" x14ac:dyDescent="0.3">
      <c r="D27" s="116" t="s">
        <v>233</v>
      </c>
    </row>
    <row r="29" spans="2:11" x14ac:dyDescent="0.3">
      <c r="B29" s="43">
        <v>5</v>
      </c>
      <c r="C29" s="43" t="s">
        <v>148</v>
      </c>
    </row>
    <row r="30" spans="2:11" x14ac:dyDescent="0.3">
      <c r="C30" s="4" t="s">
        <v>149</v>
      </c>
      <c r="D30" s="4" t="s">
        <v>150</v>
      </c>
    </row>
    <row r="31" spans="2:11" x14ac:dyDescent="0.3">
      <c r="C31" s="4" t="s">
        <v>151</v>
      </c>
      <c r="D31" s="4" t="s">
        <v>152</v>
      </c>
    </row>
    <row r="32" spans="2:11" x14ac:dyDescent="0.3">
      <c r="C32" s="4" t="s">
        <v>153</v>
      </c>
      <c r="D32" s="4" t="s">
        <v>154</v>
      </c>
    </row>
    <row r="33" spans="3:4" x14ac:dyDescent="0.3">
      <c r="C33" s="4" t="s">
        <v>155</v>
      </c>
      <c r="D33" s="4" t="s">
        <v>156</v>
      </c>
    </row>
    <row r="34" spans="3:4" ht="6.95" customHeight="1" x14ac:dyDescent="0.3"/>
    <row r="35" spans="3:4" x14ac:dyDescent="0.3">
      <c r="C35" s="75" t="s">
        <v>157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A142-A6B3-41FD-B5D9-21C70CB6E584}">
  <sheetPr>
    <tabColor theme="0"/>
  </sheetPr>
  <dimension ref="A1:G44"/>
  <sheetViews>
    <sheetView showGridLines="0" zoomScaleNormal="100" workbookViewId="0"/>
  </sheetViews>
  <sheetFormatPr defaultColWidth="9.140625" defaultRowHeight="17.25" x14ac:dyDescent="0.3"/>
  <cols>
    <col min="1" max="1" width="2.7109375" style="118" customWidth="1"/>
    <col min="2" max="3" width="3.140625" style="118" customWidth="1"/>
    <col min="4" max="4" width="12.7109375" style="118" customWidth="1"/>
    <col min="5" max="5" width="4.7109375" style="118" customWidth="1"/>
    <col min="6" max="6" width="3.85546875" style="118" customWidth="1"/>
    <col min="7" max="7" width="65" style="118" customWidth="1"/>
    <col min="8" max="16384" width="9.140625" style="118"/>
  </cols>
  <sheetData>
    <row r="1" spans="1:7" ht="26.25" x14ac:dyDescent="0.4">
      <c r="A1" s="117" t="s">
        <v>234</v>
      </c>
    </row>
    <row r="2" spans="1:7" ht="21" x14ac:dyDescent="0.35">
      <c r="A2" s="119" t="s">
        <v>97</v>
      </c>
    </row>
    <row r="3" spans="1:7" ht="6.95" customHeight="1" x14ac:dyDescent="0.35">
      <c r="A3" s="119"/>
    </row>
    <row r="4" spans="1:7" x14ac:dyDescent="0.3">
      <c r="A4" s="120">
        <v>1</v>
      </c>
      <c r="B4" s="120" t="s">
        <v>98</v>
      </c>
      <c r="C4" s="120"/>
    </row>
    <row r="5" spans="1:7" x14ac:dyDescent="0.3">
      <c r="C5" s="118" t="s">
        <v>235</v>
      </c>
    </row>
    <row r="6" spans="1:7" x14ac:dyDescent="0.3">
      <c r="C6" s="118" t="s">
        <v>236</v>
      </c>
    </row>
    <row r="7" spans="1:7" x14ac:dyDescent="0.3">
      <c r="B7" s="120" t="s">
        <v>227</v>
      </c>
      <c r="C7" s="120"/>
    </row>
    <row r="8" spans="1:7" x14ac:dyDescent="0.3">
      <c r="B8" s="118" t="s">
        <v>149</v>
      </c>
      <c r="C8" s="121" t="s">
        <v>237</v>
      </c>
    </row>
    <row r="9" spans="1:7" x14ac:dyDescent="0.3">
      <c r="B9" s="118" t="s">
        <v>151</v>
      </c>
      <c r="C9" s="121" t="s">
        <v>238</v>
      </c>
    </row>
    <row r="10" spans="1:7" x14ac:dyDescent="0.3">
      <c r="B10" s="118" t="s">
        <v>153</v>
      </c>
      <c r="C10" s="121" t="s">
        <v>239</v>
      </c>
    </row>
    <row r="11" spans="1:7" x14ac:dyDescent="0.3">
      <c r="B11" s="118" t="s">
        <v>155</v>
      </c>
      <c r="C11" s="121" t="s">
        <v>240</v>
      </c>
    </row>
    <row r="12" spans="1:7" ht="6.95" customHeight="1" x14ac:dyDescent="0.3"/>
    <row r="13" spans="1:7" x14ac:dyDescent="0.3">
      <c r="A13" s="120">
        <v>2</v>
      </c>
      <c r="B13" s="120" t="s">
        <v>100</v>
      </c>
      <c r="C13" s="120"/>
    </row>
    <row r="14" spans="1:7" x14ac:dyDescent="0.3">
      <c r="B14" s="122" t="s">
        <v>101</v>
      </c>
      <c r="C14" s="122"/>
      <c r="D14" s="123"/>
      <c r="E14" s="124"/>
      <c r="F14" s="122" t="s">
        <v>102</v>
      </c>
      <c r="G14" s="123"/>
    </row>
    <row r="15" spans="1:7" ht="17.100000000000001" customHeight="1" x14ac:dyDescent="0.3">
      <c r="B15" s="125" t="s">
        <v>104</v>
      </c>
      <c r="C15" s="125" t="s">
        <v>105</v>
      </c>
      <c r="D15" s="125"/>
      <c r="E15" s="123"/>
      <c r="F15" s="125" t="s">
        <v>106</v>
      </c>
      <c r="G15" s="125" t="s">
        <v>107</v>
      </c>
    </row>
    <row r="16" spans="1:7" ht="17.100000000000001" customHeight="1" x14ac:dyDescent="0.3">
      <c r="B16" s="123" t="s">
        <v>111</v>
      </c>
      <c r="C16" s="123" t="s">
        <v>112</v>
      </c>
      <c r="D16" s="123"/>
      <c r="E16" s="123"/>
      <c r="F16" s="123" t="s">
        <v>113</v>
      </c>
      <c r="G16" s="123" t="s">
        <v>114</v>
      </c>
    </row>
    <row r="17" spans="1:7" ht="17.100000000000001" customHeight="1" x14ac:dyDescent="0.3">
      <c r="B17" s="125" t="s">
        <v>118</v>
      </c>
      <c r="C17" s="125" t="s">
        <v>119</v>
      </c>
      <c r="D17" s="125"/>
      <c r="E17" s="123"/>
      <c r="F17" s="125" t="s">
        <v>120</v>
      </c>
      <c r="G17" s="125" t="s">
        <v>121</v>
      </c>
    </row>
    <row r="18" spans="1:7" ht="17.100000000000001" customHeight="1" x14ac:dyDescent="0.3">
      <c r="B18" s="123" t="str">
        <f>"/"</f>
        <v>/</v>
      </c>
      <c r="C18" s="123" t="s">
        <v>123</v>
      </c>
      <c r="D18" s="123"/>
      <c r="E18" s="123"/>
      <c r="F18" s="123" t="s">
        <v>124</v>
      </c>
      <c r="G18" s="123" t="s">
        <v>125</v>
      </c>
    </row>
    <row r="19" spans="1:7" ht="17.100000000000001" customHeight="1" x14ac:dyDescent="0.3">
      <c r="B19" s="125" t="s">
        <v>129</v>
      </c>
      <c r="C19" s="125" t="s">
        <v>130</v>
      </c>
      <c r="D19" s="125"/>
      <c r="E19" s="123"/>
      <c r="F19" s="125" t="s">
        <v>131</v>
      </c>
      <c r="G19" s="125" t="s">
        <v>132</v>
      </c>
    </row>
    <row r="20" spans="1:7" ht="17.100000000000001" customHeight="1" x14ac:dyDescent="0.3">
      <c r="B20" s="123"/>
      <c r="C20" s="123"/>
      <c r="D20" s="123"/>
      <c r="E20" s="123"/>
      <c r="F20" s="123" t="s">
        <v>136</v>
      </c>
      <c r="G20" s="123" t="s">
        <v>137</v>
      </c>
    </row>
    <row r="21" spans="1:7" ht="6.95" customHeight="1" x14ac:dyDescent="0.3">
      <c r="B21" s="123"/>
      <c r="C21" s="123"/>
      <c r="D21" s="123"/>
      <c r="E21" s="123"/>
      <c r="F21" s="123"/>
      <c r="G21" s="123"/>
    </row>
    <row r="22" spans="1:7" x14ac:dyDescent="0.3">
      <c r="B22" s="122" t="s">
        <v>103</v>
      </c>
      <c r="C22" s="122"/>
      <c r="D22" s="123"/>
      <c r="E22" s="123"/>
      <c r="F22" s="123"/>
      <c r="G22" s="123"/>
    </row>
    <row r="23" spans="1:7" ht="17.100000000000001" customHeight="1" x14ac:dyDescent="0.3">
      <c r="B23" s="125" t="s">
        <v>108</v>
      </c>
      <c r="C23" s="125" t="s">
        <v>109</v>
      </c>
      <c r="D23" s="125"/>
      <c r="E23" s="125" t="s">
        <v>110</v>
      </c>
      <c r="F23" s="125"/>
      <c r="G23" s="125"/>
    </row>
    <row r="24" spans="1:7" ht="17.100000000000001" customHeight="1" x14ac:dyDescent="0.3">
      <c r="B24" s="123" t="s">
        <v>241</v>
      </c>
      <c r="C24" s="123" t="s">
        <v>116</v>
      </c>
      <c r="D24" s="123"/>
      <c r="E24" s="123" t="s">
        <v>117</v>
      </c>
      <c r="F24" s="123"/>
      <c r="G24" s="123"/>
    </row>
    <row r="25" spans="1:7" ht="17.100000000000001" customHeight="1" x14ac:dyDescent="0.3">
      <c r="B25" s="123"/>
      <c r="C25" s="123"/>
      <c r="D25" s="123"/>
      <c r="E25" s="123" t="s">
        <v>122</v>
      </c>
      <c r="F25" s="123"/>
      <c r="G25" s="123"/>
    </row>
    <row r="26" spans="1:7" ht="17.100000000000001" customHeight="1" x14ac:dyDescent="0.3">
      <c r="B26" s="125" t="s">
        <v>242</v>
      </c>
      <c r="C26" s="125" t="s">
        <v>127</v>
      </c>
      <c r="D26" s="125"/>
      <c r="E26" s="125" t="s">
        <v>128</v>
      </c>
      <c r="F26" s="125"/>
      <c r="G26" s="125"/>
    </row>
    <row r="27" spans="1:7" ht="17.100000000000001" customHeight="1" x14ac:dyDescent="0.3">
      <c r="B27" s="123" t="s">
        <v>133</v>
      </c>
      <c r="C27" s="123" t="s">
        <v>134</v>
      </c>
      <c r="D27" s="123"/>
      <c r="E27" s="123" t="s">
        <v>135</v>
      </c>
      <c r="F27" s="123"/>
      <c r="G27" s="123"/>
    </row>
    <row r="28" spans="1:7" ht="17.100000000000001" customHeight="1" x14ac:dyDescent="0.3">
      <c r="B28" s="125" t="s">
        <v>138</v>
      </c>
      <c r="C28" s="125" t="s">
        <v>139</v>
      </c>
      <c r="D28" s="125"/>
      <c r="E28" s="125" t="s">
        <v>140</v>
      </c>
      <c r="F28" s="125"/>
      <c r="G28" s="125"/>
    </row>
    <row r="29" spans="1:7" ht="17.100000000000001" customHeight="1" x14ac:dyDescent="0.3">
      <c r="B29" s="123" t="s">
        <v>141</v>
      </c>
      <c r="C29" s="123" t="s">
        <v>142</v>
      </c>
      <c r="D29" s="123"/>
      <c r="E29" s="123" t="s">
        <v>143</v>
      </c>
      <c r="F29" s="123"/>
      <c r="G29" s="123"/>
    </row>
    <row r="30" spans="1:7" ht="17.100000000000001" customHeight="1" x14ac:dyDescent="0.3">
      <c r="B30" s="126" t="str">
        <f>"'"</f>
        <v>'</v>
      </c>
      <c r="C30" s="125" t="s">
        <v>144</v>
      </c>
      <c r="D30" s="125"/>
      <c r="E30" s="125" t="s">
        <v>145</v>
      </c>
      <c r="F30" s="125"/>
      <c r="G30" s="125"/>
    </row>
    <row r="31" spans="1:7" ht="6.95" customHeight="1" x14ac:dyDescent="0.3"/>
    <row r="32" spans="1:7" x14ac:dyDescent="0.3">
      <c r="A32" s="120">
        <v>3</v>
      </c>
      <c r="B32" s="120" t="s">
        <v>232</v>
      </c>
      <c r="C32" s="120"/>
    </row>
    <row r="33" spans="1:3" x14ac:dyDescent="0.3">
      <c r="C33" s="127" t="s">
        <v>146</v>
      </c>
    </row>
    <row r="34" spans="1:3" ht="6.95" customHeight="1" x14ac:dyDescent="0.3"/>
    <row r="35" spans="1:3" x14ac:dyDescent="0.3">
      <c r="A35" s="120">
        <v>4</v>
      </c>
      <c r="B35" s="120" t="s">
        <v>147</v>
      </c>
      <c r="C35" s="120"/>
    </row>
    <row r="36" spans="1:3" x14ac:dyDescent="0.3">
      <c r="C36" s="127" t="s">
        <v>233</v>
      </c>
    </row>
    <row r="37" spans="1:3" ht="6.95" customHeight="1" x14ac:dyDescent="0.3"/>
    <row r="38" spans="1:3" x14ac:dyDescent="0.3">
      <c r="A38" s="120">
        <v>5</v>
      </c>
      <c r="B38" s="120" t="s">
        <v>148</v>
      </c>
      <c r="C38" s="120"/>
    </row>
    <row r="39" spans="1:3" x14ac:dyDescent="0.3">
      <c r="B39" s="118" t="s">
        <v>149</v>
      </c>
      <c r="C39" s="118" t="s">
        <v>243</v>
      </c>
    </row>
    <row r="40" spans="1:3" x14ac:dyDescent="0.3">
      <c r="B40" s="118" t="s">
        <v>151</v>
      </c>
      <c r="C40" s="118" t="s">
        <v>244</v>
      </c>
    </row>
    <row r="41" spans="1:3" x14ac:dyDescent="0.3">
      <c r="B41" s="118" t="s">
        <v>153</v>
      </c>
      <c r="C41" s="118" t="s">
        <v>245</v>
      </c>
    </row>
    <row r="42" spans="1:3" x14ac:dyDescent="0.3">
      <c r="B42" s="118" t="s">
        <v>155</v>
      </c>
      <c r="C42" s="118" t="s">
        <v>246</v>
      </c>
    </row>
    <row r="43" spans="1:3" ht="5.0999999999999996" customHeight="1" x14ac:dyDescent="0.3"/>
    <row r="44" spans="1:3" x14ac:dyDescent="0.3">
      <c r="B44" s="118" t="s">
        <v>247</v>
      </c>
    </row>
  </sheetData>
  <pageMargins left="0.5" right="0.5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D03C-8503-4BA4-B4E5-DFFB5A91F3BE}">
  <sheetPr>
    <tabColor theme="7"/>
  </sheetPr>
  <dimension ref="A1:AF31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5" outlineLevelRow="1" outlineLevelCol="1" x14ac:dyDescent="0.25"/>
  <cols>
    <col min="1" max="1" width="2.5703125" style="8" customWidth="1"/>
    <col min="2" max="2" width="6.140625" style="8" bestFit="1" customWidth="1"/>
    <col min="3" max="3" width="12.7109375" style="8" bestFit="1" customWidth="1"/>
    <col min="4" max="4" width="12.7109375" style="8" customWidth="1"/>
    <col min="5" max="5" width="5.85546875" style="8" customWidth="1"/>
    <col min="6" max="6" width="8.140625" style="8" bestFit="1" customWidth="1"/>
    <col min="7" max="7" width="9.7109375" style="8" hidden="1" customWidth="1" outlineLevel="1"/>
    <col min="8" max="8" width="7.85546875" style="8" bestFit="1" customWidth="1" collapsed="1"/>
    <col min="9" max="9" width="8.140625" style="8" bestFit="1" customWidth="1"/>
    <col min="10" max="10" width="10.42578125" style="8" hidden="1" customWidth="1" outlineLevel="1"/>
    <col min="11" max="11" width="6.42578125" style="8" customWidth="1" collapsed="1"/>
    <col min="12" max="12" width="10" style="8" bestFit="1" customWidth="1"/>
    <col min="13" max="13" width="9.5703125" style="8" hidden="1" customWidth="1" outlineLevel="1"/>
    <col min="14" max="14" width="13.140625" style="8" bestFit="1" customWidth="1" collapsed="1"/>
    <col min="15" max="15" width="8.140625" style="8" bestFit="1" customWidth="1"/>
    <col min="16" max="16" width="15.28515625" style="8" hidden="1" customWidth="1" outlineLevel="1"/>
    <col min="17" max="17" width="9.7109375" style="8" bestFit="1" customWidth="1" collapsed="1"/>
    <col min="18" max="18" width="8.140625" style="8" bestFit="1" customWidth="1"/>
    <col min="19" max="19" width="10.42578125" style="8" hidden="1" customWidth="1" outlineLevel="1"/>
    <col min="20" max="20" width="10.85546875" style="8" customWidth="1" collapsed="1"/>
    <col min="21" max="21" width="8.140625" style="8" bestFit="1" customWidth="1"/>
    <col min="22" max="22" width="11.42578125" style="8" hidden="1" customWidth="1" outlineLevel="1"/>
    <col min="23" max="23" width="8" style="8" bestFit="1" customWidth="1" collapsed="1"/>
    <col min="24" max="24" width="8.140625" style="8" bestFit="1" customWidth="1"/>
    <col min="25" max="25" width="10.5703125" style="8" hidden="1" customWidth="1" outlineLevel="1"/>
    <col min="26" max="26" width="8.28515625" style="8" bestFit="1" customWidth="1" collapsed="1"/>
    <col min="27" max="27" width="8.140625" style="8" bestFit="1" customWidth="1"/>
    <col min="28" max="28" width="10.5703125" style="8" hidden="1" customWidth="1" outlineLevel="1"/>
    <col min="29" max="29" width="13.85546875" style="8" bestFit="1" customWidth="1" collapsed="1"/>
    <col min="30" max="30" width="8.140625" style="8" bestFit="1" customWidth="1"/>
    <col min="31" max="31" width="14.85546875" style="8" hidden="1" customWidth="1" outlineLevel="1"/>
    <col min="32" max="32" width="9.140625" style="8" collapsed="1"/>
    <col min="33" max="16384" width="9.140625" style="8"/>
  </cols>
  <sheetData>
    <row r="1" spans="1:31" s="6" customFormat="1" ht="21" x14ac:dyDescent="0.35">
      <c r="A1" s="36"/>
      <c r="B1" s="3"/>
      <c r="E1" s="38" t="s">
        <v>160</v>
      </c>
    </row>
    <row r="2" spans="1:31" s="6" customFormat="1" ht="18.75" x14ac:dyDescent="0.3">
      <c r="A2" s="37"/>
      <c r="B2" s="7"/>
      <c r="E2" s="39" t="s">
        <v>19</v>
      </c>
    </row>
    <row r="3" spans="1:31" ht="6.95" customHeight="1" x14ac:dyDescent="0.25"/>
    <row r="4" spans="1:31" x14ac:dyDescent="0.25">
      <c r="C4" s="77"/>
      <c r="D4" s="76" t="s">
        <v>17</v>
      </c>
      <c r="E4" s="19">
        <v>1</v>
      </c>
      <c r="F4" s="12"/>
      <c r="G4" s="12"/>
      <c r="H4" s="19">
        <v>2</v>
      </c>
      <c r="I4" s="12"/>
      <c r="J4" s="12"/>
      <c r="K4" s="19">
        <v>3</v>
      </c>
      <c r="L4" s="12"/>
      <c r="M4" s="12"/>
      <c r="N4" s="19">
        <v>4</v>
      </c>
      <c r="O4" s="12"/>
      <c r="P4" s="12"/>
      <c r="Q4" s="19">
        <v>5</v>
      </c>
      <c r="R4" s="12"/>
      <c r="S4" s="12"/>
      <c r="T4" s="19">
        <v>6</v>
      </c>
      <c r="U4" s="12"/>
      <c r="V4" s="12"/>
      <c r="W4" s="19">
        <v>7</v>
      </c>
      <c r="X4" s="12"/>
      <c r="Y4" s="12"/>
      <c r="Z4" s="19">
        <v>8</v>
      </c>
      <c r="AA4" s="12"/>
      <c r="AB4" s="12"/>
      <c r="AC4" s="19">
        <v>9</v>
      </c>
      <c r="AD4" s="12"/>
      <c r="AE4" s="12"/>
    </row>
    <row r="5" spans="1:31" hidden="1" outlineLevel="1" x14ac:dyDescent="0.25">
      <c r="B5" s="25" t="str">
        <f>IFERROR(IF(SUMIFS(E5:AE5,E4:AE4,"&gt;=0")=0,"",SUMIFS(E5:AE5,E4:AE4,"&gt;=0")/SUMIFS(E5:AE5,E6:AE6,"ANSWER")),"")</f>
        <v/>
      </c>
      <c r="C5" s="22" t="s">
        <v>8</v>
      </c>
      <c r="D5" s="69"/>
      <c r="E5" s="23">
        <f>IFERROR(COUNTA(Tbl_A1_DateTimeFunctions_01[Start Date Year]),"")</f>
        <v>0</v>
      </c>
      <c r="F5" s="24">
        <f>IFERROR(COUNTIF(Tbl_A1_DateTimeFunctions_01[Answer Status Q01],Rng_Lkp_AnswerStatus_Good),"")</f>
        <v>0</v>
      </c>
      <c r="G5" s="24">
        <f>IFERROR(COUNTA(Tbl_A1_DateTimeFunctions_01[Start Date Year ANS]),"")</f>
        <v>24</v>
      </c>
      <c r="H5" s="23">
        <f>IFERROR(COUNTA(Tbl_A1_DateTimeFunctions_01[Start Date Month]),"")</f>
        <v>0</v>
      </c>
      <c r="I5" s="24">
        <f>IFERROR(COUNTIF(Tbl_A1_DateTimeFunctions_01[Answer Status Q02],Rng_Lkp_AnswerStatus_Good),"")</f>
        <v>0</v>
      </c>
      <c r="J5" s="24">
        <f>IFERROR(COUNTA(Tbl_A1_DateTimeFunctions_01[Start Date Month ANS]),"")</f>
        <v>24</v>
      </c>
      <c r="K5" s="23">
        <f>IFERROR(COUNTA(Tbl_A1_DateTimeFunctions_01[Start Date Day]),"")</f>
        <v>0</v>
      </c>
      <c r="L5" s="24">
        <f>IFERROR(COUNTIF(Tbl_A1_DateTimeFunctions_01[Answer Status Q03],Rng_Lkp_AnswerStatus_Good),"")</f>
        <v>0</v>
      </c>
      <c r="M5" s="24">
        <f>IFERROR(COUNTA(Tbl_A1_DateTimeFunctions_01[Start Date Day ANS]),"")</f>
        <v>24</v>
      </c>
      <c r="N5" s="23">
        <f>IFERROR(COUNTA(Tbl_A1_DateTimeFunctions_01[3 Months and 5 Days Before Start Date]),"")</f>
        <v>0</v>
      </c>
      <c r="O5" s="24">
        <f>IFERROR(COUNTIF(Tbl_A1_DateTimeFunctions_01[Answer Status Q04],Rng_Lkp_AnswerStatus_Good),"")</f>
        <v>0</v>
      </c>
      <c r="P5" s="24">
        <f>IFERROR(COUNTA(Tbl_A1_DateTimeFunctions_01[3 Months and 5 Days Before Start Date ANS]),"")</f>
        <v>24</v>
      </c>
      <c r="Q5" s="23">
        <f>IFERROR(COUNTA(Tbl_A1_DateTimeFunctions_01[Start Date Weekday (1-7)]),"")</f>
        <v>0</v>
      </c>
      <c r="R5" s="24">
        <f>IFERROR(COUNTIF(Tbl_A1_DateTimeFunctions_01[Answer Status Q05],Rng_Lkp_AnswerStatus_Good),"")</f>
        <v>0</v>
      </c>
      <c r="S5" s="24">
        <f>IFERROR(COUNTA(Tbl_A1_DateTimeFunctions_01[Start Date Weekday (1-7) ANS]),"")</f>
        <v>24</v>
      </c>
      <c r="T5" s="23">
        <f>IFERROR(COUNTA(Tbl_A1_DateTimeFunctions_01[Start Time Hour (0-24)]),"")</f>
        <v>0</v>
      </c>
      <c r="U5" s="24">
        <f>IFERROR(COUNTIF(Tbl_A1_DateTimeFunctions_01[Answer Status Q06],Rng_Lkp_AnswerStatus_Good),"")</f>
        <v>0</v>
      </c>
      <c r="V5" s="24">
        <f>IFERROR(COUNTA(Tbl_A1_DateTimeFunctions_01[Start Time Hour (1-24) ANS]),"")</f>
        <v>24</v>
      </c>
      <c r="W5" s="23">
        <f>IFERROR(COUNTA(Tbl_A1_DateTimeFunctions_01[Start Time Minute]),"")</f>
        <v>0</v>
      </c>
      <c r="X5" s="24">
        <f>IFERROR(COUNTIF(Tbl_A1_DateTimeFunctions_01[Answer Status Q07],Rng_Lkp_AnswerStatus_Good),"")</f>
        <v>0</v>
      </c>
      <c r="Y5" s="24">
        <f>IFERROR(COUNTA(Tbl_A1_DateTimeFunctions_01[Start Time Minute ANS]),"")</f>
        <v>24</v>
      </c>
      <c r="Z5" s="23">
        <f>IFERROR(COUNTA(Tbl_A1_DateTimeFunctions_01[Start Time Second]),"")</f>
        <v>0</v>
      </c>
      <c r="AA5" s="24">
        <f>IFERROR(COUNTIF(Tbl_A1_DateTimeFunctions_01[Answer Status Q08],Rng_Lkp_AnswerStatus_Good),"")</f>
        <v>0</v>
      </c>
      <c r="AB5" s="24">
        <f>IFERROR(COUNTA(Tbl_A1_DateTimeFunctions_01[Start Time Second ANS]),"")</f>
        <v>24</v>
      </c>
      <c r="AC5" s="23">
        <f>IFERROR(COUNTA(Tbl_A1_DateTimeFunctions_01[2 Hours and 10 Minutes After Start Time]),"")</f>
        <v>0</v>
      </c>
      <c r="AD5" s="24">
        <f>IFERROR(COUNTIF(Tbl_A1_DateTimeFunctions_01[Answer Status Q09],Rng_Lkp_AnswerStatus_Good),"")</f>
        <v>0</v>
      </c>
      <c r="AE5" s="24">
        <f>IFERROR(COUNTA(Tbl_A1_DateTimeFunctions_01[2 Hours and 10 Minutes After Start Time ANS]),"")</f>
        <v>24</v>
      </c>
    </row>
    <row r="6" spans="1:31" collapsed="1" x14ac:dyDescent="0.25">
      <c r="B6" s="25" t="str">
        <f>IFERROR(IF(SUMIFS(E5:AE5,E4:AE4,"&gt;=0")=0,"",SUMIFS(E5:AE5,E6:AE6,"&gt;=0", E6:AE6,"&lt;=1")/SUMIFS(E5:AE5,E4:AE4,"&gt;0")),"")</f>
        <v/>
      </c>
      <c r="C6" s="22" t="s">
        <v>9</v>
      </c>
      <c r="D6" s="69"/>
      <c r="E6" s="82" t="s">
        <v>188</v>
      </c>
      <c r="F6" s="17" t="str">
        <f>IFERROR(F5/E5,"")</f>
        <v/>
      </c>
      <c r="G6" s="85" t="s">
        <v>0</v>
      </c>
      <c r="H6" s="82" t="s">
        <v>189</v>
      </c>
      <c r="I6" s="17" t="str">
        <f>IFERROR(I5/H5,"")</f>
        <v/>
      </c>
      <c r="J6" s="85" t="s">
        <v>0</v>
      </c>
      <c r="K6" s="82" t="s">
        <v>190</v>
      </c>
      <c r="L6" s="17" t="str">
        <f>IFERROR(L5/K5,"")</f>
        <v/>
      </c>
      <c r="M6" s="85" t="s">
        <v>0</v>
      </c>
      <c r="N6" s="47" t="s">
        <v>191</v>
      </c>
      <c r="O6" s="17" t="str">
        <f>IFERROR(O5/N5,"")</f>
        <v/>
      </c>
      <c r="P6" s="20" t="s">
        <v>0</v>
      </c>
      <c r="Q6" s="82" t="s">
        <v>183</v>
      </c>
      <c r="R6" s="17" t="str">
        <f>IFERROR(R5/Q5,"")</f>
        <v/>
      </c>
      <c r="S6" s="85" t="s">
        <v>0</v>
      </c>
      <c r="T6" s="82" t="s">
        <v>184</v>
      </c>
      <c r="U6" s="17" t="str">
        <f>IFERROR(U5/T5,"")</f>
        <v/>
      </c>
      <c r="V6" s="85" t="s">
        <v>0</v>
      </c>
      <c r="W6" s="82" t="s">
        <v>185</v>
      </c>
      <c r="X6" s="17" t="str">
        <f>IFERROR(X5/W5,"")</f>
        <v/>
      </c>
      <c r="Y6" s="85" t="s">
        <v>0</v>
      </c>
      <c r="Z6" s="82" t="s">
        <v>186</v>
      </c>
      <c r="AA6" s="17" t="str">
        <f>IFERROR(AA5/Z5,"")</f>
        <v/>
      </c>
      <c r="AB6" s="85" t="s">
        <v>0</v>
      </c>
      <c r="AC6" s="19" t="s">
        <v>187</v>
      </c>
      <c r="AD6" s="17" t="str">
        <f>IFERROR(AD5/AC5,"")</f>
        <v/>
      </c>
      <c r="AE6" s="20" t="s">
        <v>0</v>
      </c>
    </row>
    <row r="7" spans="1:31" ht="45" x14ac:dyDescent="0.25">
      <c r="B7" s="14" t="s">
        <v>15</v>
      </c>
      <c r="C7" s="14" t="s">
        <v>164</v>
      </c>
      <c r="D7" s="14" t="s">
        <v>165</v>
      </c>
      <c r="E7" s="78" t="s">
        <v>166</v>
      </c>
      <c r="F7" s="15" t="s">
        <v>4</v>
      </c>
      <c r="G7" s="86" t="s">
        <v>167</v>
      </c>
      <c r="H7" s="78" t="s">
        <v>168</v>
      </c>
      <c r="I7" s="15" t="s">
        <v>5</v>
      </c>
      <c r="J7" s="86" t="s">
        <v>169</v>
      </c>
      <c r="K7" s="78" t="s">
        <v>170</v>
      </c>
      <c r="L7" s="15" t="s">
        <v>6</v>
      </c>
      <c r="M7" s="86" t="s">
        <v>171</v>
      </c>
      <c r="N7" s="18" t="s">
        <v>172</v>
      </c>
      <c r="O7" s="15" t="s">
        <v>7</v>
      </c>
      <c r="P7" s="21" t="s">
        <v>173</v>
      </c>
      <c r="Q7" s="84" t="s">
        <v>174</v>
      </c>
      <c r="R7" s="27" t="s">
        <v>10</v>
      </c>
      <c r="S7" s="87" t="s">
        <v>175</v>
      </c>
      <c r="T7" s="84" t="s">
        <v>248</v>
      </c>
      <c r="U7" s="27" t="s">
        <v>11</v>
      </c>
      <c r="V7" s="87" t="s">
        <v>176</v>
      </c>
      <c r="W7" s="84" t="s">
        <v>177</v>
      </c>
      <c r="X7" s="27" t="s">
        <v>18</v>
      </c>
      <c r="Y7" s="87" t="s">
        <v>178</v>
      </c>
      <c r="Z7" s="84" t="s">
        <v>179</v>
      </c>
      <c r="AA7" s="27" t="s">
        <v>30</v>
      </c>
      <c r="AB7" s="87" t="s">
        <v>180</v>
      </c>
      <c r="AC7" s="34" t="s">
        <v>181</v>
      </c>
      <c r="AD7" s="27" t="s">
        <v>94</v>
      </c>
      <c r="AE7" s="35" t="s">
        <v>182</v>
      </c>
    </row>
    <row r="8" spans="1:31" x14ac:dyDescent="0.25">
      <c r="B8" s="9">
        <v>1</v>
      </c>
      <c r="C8" s="10">
        <v>42941</v>
      </c>
      <c r="D8" s="95">
        <v>2.7222222222222228E-2</v>
      </c>
      <c r="E8" s="79"/>
      <c r="F8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8" s="88">
        <f>YEAR(Tbl_A1_DateTimeFunctions_01[[#This Row],[Work Start Date]])</f>
        <v>2017</v>
      </c>
      <c r="H8" s="79"/>
      <c r="I8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8" s="88">
        <f>MONTH(Tbl_A1_DateTimeFunctions_01[[#This Row],[Work Start Date]])</f>
        <v>7</v>
      </c>
      <c r="K8" s="80"/>
      <c r="L8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8" s="88">
        <f>DAY(Tbl_A1_DateTimeFunctions_01[[#This Row],[Work Start Date]])</f>
        <v>25</v>
      </c>
      <c r="N8" s="91"/>
      <c r="O8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8" s="93" t="e">
        <f>DATE(Tbl_A1_DateTimeFunctions_01[[#This Row],[Start Date Year]],Tbl_A1_DateTimeFunctions_01[[#This Row],[Start Date Month]]-3,Tbl_A1_DateTimeFunctions_01[[#This Row],[Start Date Day]]-5)</f>
        <v>#NUM!</v>
      </c>
      <c r="Q8" s="80"/>
      <c r="R8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8" s="88">
        <f>WEEKDAY(Tbl_A1_DateTimeFunctions_01[[#This Row],[Work Start Date]])</f>
        <v>3</v>
      </c>
      <c r="T8" s="80"/>
      <c r="U8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8" s="88">
        <f>HOUR(Tbl_A1_DateTimeFunctions_01[[#This Row],[Work Start Time]])</f>
        <v>0</v>
      </c>
      <c r="W8" s="80"/>
      <c r="X8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8" s="88">
        <f>MINUTE(Tbl_A1_DateTimeFunctions_01[[#This Row],[Work Start Time]])</f>
        <v>39</v>
      </c>
      <c r="Z8" s="80"/>
      <c r="AA8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8" s="88">
        <f>SECOND(Tbl_A1_DateTimeFunctions_01[[#This Row],[Work Start Time]])</f>
        <v>12</v>
      </c>
      <c r="AC8" s="96"/>
      <c r="AD8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8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9" spans="1:31" x14ac:dyDescent="0.25">
      <c r="B9" s="9">
        <v>2</v>
      </c>
      <c r="C9" s="10">
        <v>43321</v>
      </c>
      <c r="D9" s="95">
        <v>0.72633101851851845</v>
      </c>
      <c r="E9" s="80"/>
      <c r="F9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9" s="88">
        <f>YEAR(Tbl_A1_DateTimeFunctions_01[[#This Row],[Work Start Date]])</f>
        <v>2018</v>
      </c>
      <c r="H9" s="80"/>
      <c r="I9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9" s="88">
        <f>MONTH(Tbl_A1_DateTimeFunctions_01[[#This Row],[Work Start Date]])</f>
        <v>8</v>
      </c>
      <c r="K9" s="80"/>
      <c r="L9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9" s="88">
        <f>DAY(Tbl_A1_DateTimeFunctions_01[[#This Row],[Work Start Date]])</f>
        <v>9</v>
      </c>
      <c r="N9" s="91"/>
      <c r="O9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9" s="93" t="e">
        <f>DATE(Tbl_A1_DateTimeFunctions_01[[#This Row],[Start Date Year]],Tbl_A1_DateTimeFunctions_01[[#This Row],[Start Date Month]]-3,Tbl_A1_DateTimeFunctions_01[[#This Row],[Start Date Day]]-5)</f>
        <v>#NUM!</v>
      </c>
      <c r="Q9" s="80"/>
      <c r="R9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9" s="88">
        <f>WEEKDAY(Tbl_A1_DateTimeFunctions_01[[#This Row],[Work Start Date]])</f>
        <v>5</v>
      </c>
      <c r="T9" s="80"/>
      <c r="U9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9" s="88">
        <f>HOUR(Tbl_A1_DateTimeFunctions_01[[#This Row],[Work Start Time]])</f>
        <v>17</v>
      </c>
      <c r="W9" s="80"/>
      <c r="X9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9" s="88">
        <f>MINUTE(Tbl_A1_DateTimeFunctions_01[[#This Row],[Work Start Time]])</f>
        <v>25</v>
      </c>
      <c r="Z9" s="80"/>
      <c r="AA9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9" s="88">
        <f>SECOND(Tbl_A1_DateTimeFunctions_01[[#This Row],[Work Start Time]])</f>
        <v>55</v>
      </c>
      <c r="AC9" s="96"/>
      <c r="AD9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9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0" spans="1:31" x14ac:dyDescent="0.25">
      <c r="B10" s="9">
        <v>3</v>
      </c>
      <c r="C10" s="10">
        <v>43074</v>
      </c>
      <c r="D10" s="95">
        <v>0.80231481481481481</v>
      </c>
      <c r="E10" s="80"/>
      <c r="F10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0" s="88">
        <f>YEAR(Tbl_A1_DateTimeFunctions_01[[#This Row],[Work Start Date]])</f>
        <v>2017</v>
      </c>
      <c r="H10" s="80"/>
      <c r="I10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0" s="88">
        <f>MONTH(Tbl_A1_DateTimeFunctions_01[[#This Row],[Work Start Date]])</f>
        <v>12</v>
      </c>
      <c r="K10" s="80"/>
      <c r="L10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0" s="88">
        <f>DAY(Tbl_A1_DateTimeFunctions_01[[#This Row],[Work Start Date]])</f>
        <v>5</v>
      </c>
      <c r="N10" s="91"/>
      <c r="O10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0" s="93" t="e">
        <f>DATE(Tbl_A1_DateTimeFunctions_01[[#This Row],[Start Date Year]],Tbl_A1_DateTimeFunctions_01[[#This Row],[Start Date Month]]-3,Tbl_A1_DateTimeFunctions_01[[#This Row],[Start Date Day]]-5)</f>
        <v>#NUM!</v>
      </c>
      <c r="Q10" s="80"/>
      <c r="R10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0" s="88">
        <f>WEEKDAY(Tbl_A1_DateTimeFunctions_01[[#This Row],[Work Start Date]])</f>
        <v>3</v>
      </c>
      <c r="T10" s="80"/>
      <c r="U10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0" s="88">
        <f>HOUR(Tbl_A1_DateTimeFunctions_01[[#This Row],[Work Start Time]])</f>
        <v>19</v>
      </c>
      <c r="W10" s="80"/>
      <c r="X10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0" s="88">
        <f>MINUTE(Tbl_A1_DateTimeFunctions_01[[#This Row],[Work Start Time]])</f>
        <v>15</v>
      </c>
      <c r="Z10" s="80"/>
      <c r="AA10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0" s="88">
        <f>SECOND(Tbl_A1_DateTimeFunctions_01[[#This Row],[Work Start Time]])</f>
        <v>20</v>
      </c>
      <c r="AC10" s="96"/>
      <c r="AD10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0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1" spans="1:31" x14ac:dyDescent="0.25">
      <c r="B11" s="9">
        <v>4</v>
      </c>
      <c r="C11" s="10">
        <v>42932</v>
      </c>
      <c r="D11" s="95">
        <v>4.2905092592592592E-2</v>
      </c>
      <c r="E11" s="80"/>
      <c r="F11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1" s="88">
        <f>YEAR(Tbl_A1_DateTimeFunctions_01[[#This Row],[Work Start Date]])</f>
        <v>2017</v>
      </c>
      <c r="H11" s="80"/>
      <c r="I11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1" s="88">
        <f>MONTH(Tbl_A1_DateTimeFunctions_01[[#This Row],[Work Start Date]])</f>
        <v>7</v>
      </c>
      <c r="K11" s="80"/>
      <c r="L11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1" s="88">
        <f>DAY(Tbl_A1_DateTimeFunctions_01[[#This Row],[Work Start Date]])</f>
        <v>16</v>
      </c>
      <c r="N11" s="91"/>
      <c r="O11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1" s="93" t="e">
        <f>DATE(Tbl_A1_DateTimeFunctions_01[[#This Row],[Start Date Year]],Tbl_A1_DateTimeFunctions_01[[#This Row],[Start Date Month]]-3,Tbl_A1_DateTimeFunctions_01[[#This Row],[Start Date Day]]-5)</f>
        <v>#NUM!</v>
      </c>
      <c r="Q11" s="80"/>
      <c r="R11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1" s="88">
        <f>WEEKDAY(Tbl_A1_DateTimeFunctions_01[[#This Row],[Work Start Date]])</f>
        <v>1</v>
      </c>
      <c r="T11" s="80"/>
      <c r="U11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1" s="88">
        <f>HOUR(Tbl_A1_DateTimeFunctions_01[[#This Row],[Work Start Time]])</f>
        <v>1</v>
      </c>
      <c r="W11" s="80"/>
      <c r="X11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1" s="88">
        <f>MINUTE(Tbl_A1_DateTimeFunctions_01[[#This Row],[Work Start Time]])</f>
        <v>1</v>
      </c>
      <c r="Z11" s="80"/>
      <c r="AA11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1" s="88">
        <f>SECOND(Tbl_A1_DateTimeFunctions_01[[#This Row],[Work Start Time]])</f>
        <v>47</v>
      </c>
      <c r="AC11" s="96"/>
      <c r="AD11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1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2" spans="1:31" x14ac:dyDescent="0.25">
      <c r="B12" s="9">
        <v>5</v>
      </c>
      <c r="C12" s="10">
        <v>43390</v>
      </c>
      <c r="D12" s="95">
        <v>0.7845833333333333</v>
      </c>
      <c r="E12" s="80"/>
      <c r="F12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2" s="88">
        <f>YEAR(Tbl_A1_DateTimeFunctions_01[[#This Row],[Work Start Date]])</f>
        <v>2018</v>
      </c>
      <c r="H12" s="80"/>
      <c r="I12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2" s="88">
        <f>MONTH(Tbl_A1_DateTimeFunctions_01[[#This Row],[Work Start Date]])</f>
        <v>10</v>
      </c>
      <c r="K12" s="80"/>
      <c r="L12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2" s="88">
        <f>DAY(Tbl_A1_DateTimeFunctions_01[[#This Row],[Work Start Date]])</f>
        <v>17</v>
      </c>
      <c r="N12" s="91"/>
      <c r="O12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2" s="93" t="e">
        <f>DATE(Tbl_A1_DateTimeFunctions_01[[#This Row],[Start Date Year]],Tbl_A1_DateTimeFunctions_01[[#This Row],[Start Date Month]]-3,Tbl_A1_DateTimeFunctions_01[[#This Row],[Start Date Day]]-5)</f>
        <v>#NUM!</v>
      </c>
      <c r="Q12" s="80"/>
      <c r="R12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2" s="88">
        <f>WEEKDAY(Tbl_A1_DateTimeFunctions_01[[#This Row],[Work Start Date]])</f>
        <v>4</v>
      </c>
      <c r="T12" s="80"/>
      <c r="U12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2" s="88">
        <f>HOUR(Tbl_A1_DateTimeFunctions_01[[#This Row],[Work Start Time]])</f>
        <v>18</v>
      </c>
      <c r="W12" s="80"/>
      <c r="X12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2" s="88">
        <f>MINUTE(Tbl_A1_DateTimeFunctions_01[[#This Row],[Work Start Time]])</f>
        <v>49</v>
      </c>
      <c r="Z12" s="80"/>
      <c r="AA12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2" s="88">
        <f>SECOND(Tbl_A1_DateTimeFunctions_01[[#This Row],[Work Start Time]])</f>
        <v>48</v>
      </c>
      <c r="AC12" s="96"/>
      <c r="AD12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2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3" spans="1:31" x14ac:dyDescent="0.25">
      <c r="B13" s="9">
        <v>6</v>
      </c>
      <c r="C13" s="10">
        <v>43368</v>
      </c>
      <c r="D13" s="95">
        <v>0.44296296296296295</v>
      </c>
      <c r="E13" s="80"/>
      <c r="F13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3" s="88">
        <f>YEAR(Tbl_A1_DateTimeFunctions_01[[#This Row],[Work Start Date]])</f>
        <v>2018</v>
      </c>
      <c r="H13" s="80"/>
      <c r="I13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3" s="88">
        <f>MONTH(Tbl_A1_DateTimeFunctions_01[[#This Row],[Work Start Date]])</f>
        <v>9</v>
      </c>
      <c r="K13" s="80"/>
      <c r="L13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3" s="88">
        <f>DAY(Tbl_A1_DateTimeFunctions_01[[#This Row],[Work Start Date]])</f>
        <v>25</v>
      </c>
      <c r="N13" s="91"/>
      <c r="O13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3" s="93" t="e">
        <f>DATE(Tbl_A1_DateTimeFunctions_01[[#This Row],[Start Date Year]],Tbl_A1_DateTimeFunctions_01[[#This Row],[Start Date Month]]-3,Tbl_A1_DateTimeFunctions_01[[#This Row],[Start Date Day]]-5)</f>
        <v>#NUM!</v>
      </c>
      <c r="Q13" s="80"/>
      <c r="R13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3" s="88">
        <f>WEEKDAY(Tbl_A1_DateTimeFunctions_01[[#This Row],[Work Start Date]])</f>
        <v>3</v>
      </c>
      <c r="T13" s="80"/>
      <c r="U13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3" s="88">
        <f>HOUR(Tbl_A1_DateTimeFunctions_01[[#This Row],[Work Start Time]])</f>
        <v>10</v>
      </c>
      <c r="W13" s="80"/>
      <c r="X13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3" s="88">
        <f>MINUTE(Tbl_A1_DateTimeFunctions_01[[#This Row],[Work Start Time]])</f>
        <v>37</v>
      </c>
      <c r="Z13" s="80"/>
      <c r="AA13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3" s="88">
        <f>SECOND(Tbl_A1_DateTimeFunctions_01[[#This Row],[Work Start Time]])</f>
        <v>52</v>
      </c>
      <c r="AC13" s="96"/>
      <c r="AD13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3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4" spans="1:31" x14ac:dyDescent="0.25">
      <c r="B14" s="9">
        <v>7</v>
      </c>
      <c r="C14" s="10">
        <v>42986</v>
      </c>
      <c r="D14" s="95">
        <v>3.577546296296296E-2</v>
      </c>
      <c r="E14" s="80"/>
      <c r="F14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4" s="88">
        <f>YEAR(Tbl_A1_DateTimeFunctions_01[[#This Row],[Work Start Date]])</f>
        <v>2017</v>
      </c>
      <c r="H14" s="80"/>
      <c r="I14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4" s="88">
        <f>MONTH(Tbl_A1_DateTimeFunctions_01[[#This Row],[Work Start Date]])</f>
        <v>9</v>
      </c>
      <c r="K14" s="80"/>
      <c r="L14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4" s="88">
        <f>DAY(Tbl_A1_DateTimeFunctions_01[[#This Row],[Work Start Date]])</f>
        <v>8</v>
      </c>
      <c r="N14" s="91"/>
      <c r="O14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4" s="93" t="e">
        <f>DATE(Tbl_A1_DateTimeFunctions_01[[#This Row],[Start Date Year]],Tbl_A1_DateTimeFunctions_01[[#This Row],[Start Date Month]]-3,Tbl_A1_DateTimeFunctions_01[[#This Row],[Start Date Day]]-5)</f>
        <v>#NUM!</v>
      </c>
      <c r="Q14" s="80"/>
      <c r="R14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4" s="88">
        <f>WEEKDAY(Tbl_A1_DateTimeFunctions_01[[#This Row],[Work Start Date]])</f>
        <v>6</v>
      </c>
      <c r="T14" s="80"/>
      <c r="U14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4" s="88">
        <f>HOUR(Tbl_A1_DateTimeFunctions_01[[#This Row],[Work Start Time]])</f>
        <v>0</v>
      </c>
      <c r="W14" s="80"/>
      <c r="X14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4" s="88">
        <f>MINUTE(Tbl_A1_DateTimeFunctions_01[[#This Row],[Work Start Time]])</f>
        <v>51</v>
      </c>
      <c r="Z14" s="80"/>
      <c r="AA14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4" s="88">
        <f>SECOND(Tbl_A1_DateTimeFunctions_01[[#This Row],[Work Start Time]])</f>
        <v>31</v>
      </c>
      <c r="AC14" s="96"/>
      <c r="AD14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4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5" spans="1:31" x14ac:dyDescent="0.25">
      <c r="B15" s="9">
        <v>8</v>
      </c>
      <c r="C15" s="10">
        <v>43150</v>
      </c>
      <c r="D15" s="95">
        <v>0.33958333333333335</v>
      </c>
      <c r="E15" s="80"/>
      <c r="F15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5" s="88">
        <f>YEAR(Tbl_A1_DateTimeFunctions_01[[#This Row],[Work Start Date]])</f>
        <v>2018</v>
      </c>
      <c r="H15" s="80"/>
      <c r="I15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5" s="88">
        <f>MONTH(Tbl_A1_DateTimeFunctions_01[[#This Row],[Work Start Date]])</f>
        <v>2</v>
      </c>
      <c r="K15" s="80"/>
      <c r="L15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5" s="88">
        <f>DAY(Tbl_A1_DateTimeFunctions_01[[#This Row],[Work Start Date]])</f>
        <v>19</v>
      </c>
      <c r="N15" s="91"/>
      <c r="O15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5" s="93" t="e">
        <f>DATE(Tbl_A1_DateTimeFunctions_01[[#This Row],[Start Date Year]],Tbl_A1_DateTimeFunctions_01[[#This Row],[Start Date Month]]-3,Tbl_A1_DateTimeFunctions_01[[#This Row],[Start Date Day]]-5)</f>
        <v>#NUM!</v>
      </c>
      <c r="Q15" s="80"/>
      <c r="R15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5" s="88">
        <f>WEEKDAY(Tbl_A1_DateTimeFunctions_01[[#This Row],[Work Start Date]])</f>
        <v>2</v>
      </c>
      <c r="T15" s="80"/>
      <c r="U15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5" s="88">
        <f>HOUR(Tbl_A1_DateTimeFunctions_01[[#This Row],[Work Start Time]])</f>
        <v>8</v>
      </c>
      <c r="W15" s="80"/>
      <c r="X15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5" s="88">
        <f>MINUTE(Tbl_A1_DateTimeFunctions_01[[#This Row],[Work Start Time]])</f>
        <v>9</v>
      </c>
      <c r="Z15" s="80"/>
      <c r="AA15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5" s="88">
        <f>SECOND(Tbl_A1_DateTimeFunctions_01[[#This Row],[Work Start Time]])</f>
        <v>0</v>
      </c>
      <c r="AC15" s="96"/>
      <c r="AD15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5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6" spans="1:31" x14ac:dyDescent="0.25">
      <c r="B16" s="9">
        <v>9</v>
      </c>
      <c r="C16" s="10">
        <v>42920</v>
      </c>
      <c r="D16" s="95">
        <v>0.28699074074074077</v>
      </c>
      <c r="E16" s="80"/>
      <c r="F16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6" s="88">
        <f>YEAR(Tbl_A1_DateTimeFunctions_01[[#This Row],[Work Start Date]])</f>
        <v>2017</v>
      </c>
      <c r="H16" s="80"/>
      <c r="I16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6" s="88">
        <f>MONTH(Tbl_A1_DateTimeFunctions_01[[#This Row],[Work Start Date]])</f>
        <v>7</v>
      </c>
      <c r="K16" s="80"/>
      <c r="L16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6" s="88">
        <f>DAY(Tbl_A1_DateTimeFunctions_01[[#This Row],[Work Start Date]])</f>
        <v>4</v>
      </c>
      <c r="N16" s="91"/>
      <c r="O16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6" s="93" t="e">
        <f>DATE(Tbl_A1_DateTimeFunctions_01[[#This Row],[Start Date Year]],Tbl_A1_DateTimeFunctions_01[[#This Row],[Start Date Month]]-3,Tbl_A1_DateTimeFunctions_01[[#This Row],[Start Date Day]]-5)</f>
        <v>#NUM!</v>
      </c>
      <c r="Q16" s="80"/>
      <c r="R16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6" s="88">
        <f>WEEKDAY(Tbl_A1_DateTimeFunctions_01[[#This Row],[Work Start Date]])</f>
        <v>3</v>
      </c>
      <c r="T16" s="80"/>
      <c r="U16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6" s="88">
        <f>HOUR(Tbl_A1_DateTimeFunctions_01[[#This Row],[Work Start Time]])</f>
        <v>6</v>
      </c>
      <c r="W16" s="80"/>
      <c r="X16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6" s="88">
        <f>MINUTE(Tbl_A1_DateTimeFunctions_01[[#This Row],[Work Start Time]])</f>
        <v>53</v>
      </c>
      <c r="Z16" s="80"/>
      <c r="AA16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6" s="88">
        <f>SECOND(Tbl_A1_DateTimeFunctions_01[[#This Row],[Work Start Time]])</f>
        <v>16</v>
      </c>
      <c r="AC16" s="96"/>
      <c r="AD16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6" s="98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7" spans="2:31" x14ac:dyDescent="0.25">
      <c r="B17" s="9">
        <v>10</v>
      </c>
      <c r="C17" s="10">
        <v>43023</v>
      </c>
      <c r="D17" s="95">
        <v>0.70734953703703696</v>
      </c>
      <c r="E17" s="81"/>
      <c r="F17" s="16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7" s="89">
        <f>YEAR(Tbl_A1_DateTimeFunctions_01[[#This Row],[Work Start Date]])</f>
        <v>2017</v>
      </c>
      <c r="H17" s="81"/>
      <c r="I17" s="16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7" s="89">
        <f>MONTH(Tbl_A1_DateTimeFunctions_01[[#This Row],[Work Start Date]])</f>
        <v>10</v>
      </c>
      <c r="K17" s="81"/>
      <c r="L17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7" s="89">
        <f>DAY(Tbl_A1_DateTimeFunctions_01[[#This Row],[Work Start Date]])</f>
        <v>15</v>
      </c>
      <c r="N17" s="92"/>
      <c r="O17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7" s="94" t="e">
        <f>DATE(Tbl_A1_DateTimeFunctions_01[[#This Row],[Start Date Year]],Tbl_A1_DateTimeFunctions_01[[#This Row],[Start Date Month]]-3,Tbl_A1_DateTimeFunctions_01[[#This Row],[Start Date Day]]-5)</f>
        <v>#NUM!</v>
      </c>
      <c r="Q17" s="81"/>
      <c r="R17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7" s="89">
        <f>WEEKDAY(Tbl_A1_DateTimeFunctions_01[[#This Row],[Work Start Date]])</f>
        <v>1</v>
      </c>
      <c r="T17" s="81"/>
      <c r="U17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7" s="89">
        <f>HOUR(Tbl_A1_DateTimeFunctions_01[[#This Row],[Work Start Time]])</f>
        <v>16</v>
      </c>
      <c r="W17" s="81"/>
      <c r="X17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7" s="89">
        <f>MINUTE(Tbl_A1_DateTimeFunctions_01[[#This Row],[Work Start Time]])</f>
        <v>58</v>
      </c>
      <c r="Z17" s="81"/>
      <c r="AA17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7" s="89">
        <f>SECOND(Tbl_A1_DateTimeFunctions_01[[#This Row],[Work Start Time]])</f>
        <v>35</v>
      </c>
      <c r="AC17" s="97"/>
      <c r="AD17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7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8" spans="2:31" x14ac:dyDescent="0.25">
      <c r="B18" s="9">
        <v>11</v>
      </c>
      <c r="C18" s="10">
        <v>43092</v>
      </c>
      <c r="D18" s="95">
        <v>0.51484953703703706</v>
      </c>
      <c r="E18" s="81"/>
      <c r="F18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8" s="90">
        <f>YEAR(Tbl_A1_DateTimeFunctions_01[[#This Row],[Work Start Date]])</f>
        <v>2017</v>
      </c>
      <c r="H18" s="83"/>
      <c r="I18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8" s="90">
        <f>MONTH(Tbl_A1_DateTimeFunctions_01[[#This Row],[Work Start Date]])</f>
        <v>12</v>
      </c>
      <c r="K18" s="81"/>
      <c r="L18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8" s="89">
        <f>DAY(Tbl_A1_DateTimeFunctions_01[[#This Row],[Work Start Date]])</f>
        <v>23</v>
      </c>
      <c r="N18" s="92"/>
      <c r="O18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8" s="94" t="e">
        <f>DATE(Tbl_A1_DateTimeFunctions_01[[#This Row],[Start Date Year]],Tbl_A1_DateTimeFunctions_01[[#This Row],[Start Date Month]]-3,Tbl_A1_DateTimeFunctions_01[[#This Row],[Start Date Day]]-5)</f>
        <v>#NUM!</v>
      </c>
      <c r="Q18" s="81"/>
      <c r="R18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8" s="89">
        <f>WEEKDAY(Tbl_A1_DateTimeFunctions_01[[#This Row],[Work Start Date]])</f>
        <v>7</v>
      </c>
      <c r="T18" s="81"/>
      <c r="U18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8" s="89">
        <f>HOUR(Tbl_A1_DateTimeFunctions_01[[#This Row],[Work Start Time]])</f>
        <v>12</v>
      </c>
      <c r="W18" s="81"/>
      <c r="X18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8" s="89">
        <f>MINUTE(Tbl_A1_DateTimeFunctions_01[[#This Row],[Work Start Time]])</f>
        <v>21</v>
      </c>
      <c r="Z18" s="81"/>
      <c r="AA18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8" s="89">
        <f>SECOND(Tbl_A1_DateTimeFunctions_01[[#This Row],[Work Start Time]])</f>
        <v>23</v>
      </c>
      <c r="AC18" s="97"/>
      <c r="AD18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8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19" spans="2:31" x14ac:dyDescent="0.25">
      <c r="B19" s="9">
        <v>12</v>
      </c>
      <c r="C19" s="10">
        <v>43203</v>
      </c>
      <c r="D19" s="95">
        <v>0.51224537037037032</v>
      </c>
      <c r="E19" s="81"/>
      <c r="F19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19" s="90">
        <f>YEAR(Tbl_A1_DateTimeFunctions_01[[#This Row],[Work Start Date]])</f>
        <v>2018</v>
      </c>
      <c r="H19" s="83"/>
      <c r="I19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19" s="90">
        <f>MONTH(Tbl_A1_DateTimeFunctions_01[[#This Row],[Work Start Date]])</f>
        <v>4</v>
      </c>
      <c r="K19" s="81"/>
      <c r="L19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19" s="89">
        <f>DAY(Tbl_A1_DateTimeFunctions_01[[#This Row],[Work Start Date]])</f>
        <v>13</v>
      </c>
      <c r="N19" s="92"/>
      <c r="O19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19" s="94" t="e">
        <f>DATE(Tbl_A1_DateTimeFunctions_01[[#This Row],[Start Date Year]],Tbl_A1_DateTimeFunctions_01[[#This Row],[Start Date Month]]-3,Tbl_A1_DateTimeFunctions_01[[#This Row],[Start Date Day]]-5)</f>
        <v>#NUM!</v>
      </c>
      <c r="Q19" s="81"/>
      <c r="R19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19" s="89">
        <f>WEEKDAY(Tbl_A1_DateTimeFunctions_01[[#This Row],[Work Start Date]])</f>
        <v>6</v>
      </c>
      <c r="T19" s="81"/>
      <c r="U19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19" s="89">
        <f>HOUR(Tbl_A1_DateTimeFunctions_01[[#This Row],[Work Start Time]])</f>
        <v>12</v>
      </c>
      <c r="W19" s="81"/>
      <c r="X19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19" s="89">
        <f>MINUTE(Tbl_A1_DateTimeFunctions_01[[#This Row],[Work Start Time]])</f>
        <v>17</v>
      </c>
      <c r="Z19" s="81"/>
      <c r="AA19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19" s="89">
        <f>SECOND(Tbl_A1_DateTimeFunctions_01[[#This Row],[Work Start Time]])</f>
        <v>38</v>
      </c>
      <c r="AC19" s="97"/>
      <c r="AD19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19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0" spans="2:31" x14ac:dyDescent="0.25">
      <c r="B20" s="9">
        <v>13</v>
      </c>
      <c r="C20" s="10">
        <v>43532</v>
      </c>
      <c r="D20" s="95">
        <v>0.13020833333333334</v>
      </c>
      <c r="E20" s="81"/>
      <c r="F20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0" s="90">
        <f>YEAR(Tbl_A1_DateTimeFunctions_01[[#This Row],[Work Start Date]])</f>
        <v>2019</v>
      </c>
      <c r="H20" s="83"/>
      <c r="I20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0" s="90">
        <f>MONTH(Tbl_A1_DateTimeFunctions_01[[#This Row],[Work Start Date]])</f>
        <v>3</v>
      </c>
      <c r="K20" s="81"/>
      <c r="L20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0" s="89">
        <f>DAY(Tbl_A1_DateTimeFunctions_01[[#This Row],[Work Start Date]])</f>
        <v>8</v>
      </c>
      <c r="N20" s="92"/>
      <c r="O20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0" s="94" t="e">
        <f>DATE(Tbl_A1_DateTimeFunctions_01[[#This Row],[Start Date Year]],Tbl_A1_DateTimeFunctions_01[[#This Row],[Start Date Month]]-3,Tbl_A1_DateTimeFunctions_01[[#This Row],[Start Date Day]]-5)</f>
        <v>#NUM!</v>
      </c>
      <c r="Q20" s="81"/>
      <c r="R20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0" s="89">
        <f>WEEKDAY(Tbl_A1_DateTimeFunctions_01[[#This Row],[Work Start Date]])</f>
        <v>6</v>
      </c>
      <c r="T20" s="81"/>
      <c r="U20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0" s="89">
        <f>HOUR(Tbl_A1_DateTimeFunctions_01[[#This Row],[Work Start Time]])</f>
        <v>3</v>
      </c>
      <c r="W20" s="81"/>
      <c r="X20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0" s="89">
        <f>MINUTE(Tbl_A1_DateTimeFunctions_01[[#This Row],[Work Start Time]])</f>
        <v>7</v>
      </c>
      <c r="Z20" s="81"/>
      <c r="AA20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0" s="89">
        <f>SECOND(Tbl_A1_DateTimeFunctions_01[[#This Row],[Work Start Time]])</f>
        <v>30</v>
      </c>
      <c r="AC20" s="97"/>
      <c r="AD20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0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1" spans="2:31" x14ac:dyDescent="0.25">
      <c r="B21" s="9">
        <v>14</v>
      </c>
      <c r="C21" s="10">
        <v>43313</v>
      </c>
      <c r="D21" s="95">
        <v>0.14053240740740741</v>
      </c>
      <c r="E21" s="81"/>
      <c r="F21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1" s="90">
        <f>YEAR(Tbl_A1_DateTimeFunctions_01[[#This Row],[Work Start Date]])</f>
        <v>2018</v>
      </c>
      <c r="H21" s="83"/>
      <c r="I21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1" s="90">
        <f>MONTH(Tbl_A1_DateTimeFunctions_01[[#This Row],[Work Start Date]])</f>
        <v>8</v>
      </c>
      <c r="K21" s="81"/>
      <c r="L21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1" s="89">
        <f>DAY(Tbl_A1_DateTimeFunctions_01[[#This Row],[Work Start Date]])</f>
        <v>1</v>
      </c>
      <c r="N21" s="92"/>
      <c r="O21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1" s="94" t="e">
        <f>DATE(Tbl_A1_DateTimeFunctions_01[[#This Row],[Start Date Year]],Tbl_A1_DateTimeFunctions_01[[#This Row],[Start Date Month]]-3,Tbl_A1_DateTimeFunctions_01[[#This Row],[Start Date Day]]-5)</f>
        <v>#NUM!</v>
      </c>
      <c r="Q21" s="81"/>
      <c r="R21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1" s="89">
        <f>WEEKDAY(Tbl_A1_DateTimeFunctions_01[[#This Row],[Work Start Date]])</f>
        <v>4</v>
      </c>
      <c r="T21" s="81"/>
      <c r="U21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1" s="89">
        <f>HOUR(Tbl_A1_DateTimeFunctions_01[[#This Row],[Work Start Time]])</f>
        <v>3</v>
      </c>
      <c r="W21" s="81"/>
      <c r="X21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1" s="89">
        <f>MINUTE(Tbl_A1_DateTimeFunctions_01[[#This Row],[Work Start Time]])</f>
        <v>22</v>
      </c>
      <c r="Z21" s="81"/>
      <c r="AA21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1" s="89">
        <f>SECOND(Tbl_A1_DateTimeFunctions_01[[#This Row],[Work Start Time]])</f>
        <v>22</v>
      </c>
      <c r="AC21" s="97"/>
      <c r="AD21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1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2" spans="2:31" x14ac:dyDescent="0.25">
      <c r="B22" s="9">
        <v>15</v>
      </c>
      <c r="C22" s="10">
        <v>43234</v>
      </c>
      <c r="D22" s="95">
        <v>0.86690972222222218</v>
      </c>
      <c r="E22" s="81"/>
      <c r="F22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2" s="90">
        <f>YEAR(Tbl_A1_DateTimeFunctions_01[[#This Row],[Work Start Date]])</f>
        <v>2018</v>
      </c>
      <c r="H22" s="83"/>
      <c r="I22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2" s="90">
        <f>MONTH(Tbl_A1_DateTimeFunctions_01[[#This Row],[Work Start Date]])</f>
        <v>5</v>
      </c>
      <c r="K22" s="81"/>
      <c r="L22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2" s="89">
        <f>DAY(Tbl_A1_DateTimeFunctions_01[[#This Row],[Work Start Date]])</f>
        <v>14</v>
      </c>
      <c r="N22" s="92"/>
      <c r="O22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2" s="94" t="e">
        <f>DATE(Tbl_A1_DateTimeFunctions_01[[#This Row],[Start Date Year]],Tbl_A1_DateTimeFunctions_01[[#This Row],[Start Date Month]]-3,Tbl_A1_DateTimeFunctions_01[[#This Row],[Start Date Day]]-5)</f>
        <v>#NUM!</v>
      </c>
      <c r="Q22" s="81"/>
      <c r="R22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2" s="89">
        <f>WEEKDAY(Tbl_A1_DateTimeFunctions_01[[#This Row],[Work Start Date]])</f>
        <v>2</v>
      </c>
      <c r="T22" s="81"/>
      <c r="U22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2" s="89">
        <f>HOUR(Tbl_A1_DateTimeFunctions_01[[#This Row],[Work Start Time]])</f>
        <v>20</v>
      </c>
      <c r="W22" s="81"/>
      <c r="X22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2" s="89">
        <f>MINUTE(Tbl_A1_DateTimeFunctions_01[[#This Row],[Work Start Time]])</f>
        <v>48</v>
      </c>
      <c r="Z22" s="81"/>
      <c r="AA22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2" s="89">
        <f>SECOND(Tbl_A1_DateTimeFunctions_01[[#This Row],[Work Start Time]])</f>
        <v>21</v>
      </c>
      <c r="AC22" s="97"/>
      <c r="AD22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2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3" spans="2:31" x14ac:dyDescent="0.25">
      <c r="B23" s="9">
        <v>16</v>
      </c>
      <c r="C23" s="10">
        <v>43254</v>
      </c>
      <c r="D23" s="95">
        <v>0.83798611111111121</v>
      </c>
      <c r="E23" s="81"/>
      <c r="F23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3" s="90">
        <f>YEAR(Tbl_A1_DateTimeFunctions_01[[#This Row],[Work Start Date]])</f>
        <v>2018</v>
      </c>
      <c r="H23" s="83"/>
      <c r="I23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3" s="90">
        <f>MONTH(Tbl_A1_DateTimeFunctions_01[[#This Row],[Work Start Date]])</f>
        <v>6</v>
      </c>
      <c r="K23" s="81"/>
      <c r="L23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3" s="89">
        <f>DAY(Tbl_A1_DateTimeFunctions_01[[#This Row],[Work Start Date]])</f>
        <v>3</v>
      </c>
      <c r="N23" s="92"/>
      <c r="O23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3" s="94" t="e">
        <f>DATE(Tbl_A1_DateTimeFunctions_01[[#This Row],[Start Date Year]],Tbl_A1_DateTimeFunctions_01[[#This Row],[Start Date Month]]-3,Tbl_A1_DateTimeFunctions_01[[#This Row],[Start Date Day]]-5)</f>
        <v>#NUM!</v>
      </c>
      <c r="Q23" s="81"/>
      <c r="R23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3" s="89">
        <f>WEEKDAY(Tbl_A1_DateTimeFunctions_01[[#This Row],[Work Start Date]])</f>
        <v>1</v>
      </c>
      <c r="T23" s="81"/>
      <c r="U23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3" s="89">
        <f>HOUR(Tbl_A1_DateTimeFunctions_01[[#This Row],[Work Start Time]])</f>
        <v>20</v>
      </c>
      <c r="W23" s="81"/>
      <c r="X23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3" s="89">
        <f>MINUTE(Tbl_A1_DateTimeFunctions_01[[#This Row],[Work Start Time]])</f>
        <v>6</v>
      </c>
      <c r="Z23" s="81"/>
      <c r="AA23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3" s="89">
        <f>SECOND(Tbl_A1_DateTimeFunctions_01[[#This Row],[Work Start Time]])</f>
        <v>42</v>
      </c>
      <c r="AC23" s="97"/>
      <c r="AD23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3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4" spans="2:31" x14ac:dyDescent="0.25">
      <c r="B24" s="9">
        <v>17</v>
      </c>
      <c r="C24" s="10">
        <v>43493</v>
      </c>
      <c r="D24" s="95">
        <v>0.27056712962962964</v>
      </c>
      <c r="E24" s="81"/>
      <c r="F24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4" s="90">
        <f>YEAR(Tbl_A1_DateTimeFunctions_01[[#This Row],[Work Start Date]])</f>
        <v>2019</v>
      </c>
      <c r="H24" s="83"/>
      <c r="I24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4" s="90">
        <f>MONTH(Tbl_A1_DateTimeFunctions_01[[#This Row],[Work Start Date]])</f>
        <v>1</v>
      </c>
      <c r="K24" s="81"/>
      <c r="L24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4" s="89">
        <f>DAY(Tbl_A1_DateTimeFunctions_01[[#This Row],[Work Start Date]])</f>
        <v>28</v>
      </c>
      <c r="N24" s="92"/>
      <c r="O24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4" s="94" t="e">
        <f>DATE(Tbl_A1_DateTimeFunctions_01[[#This Row],[Start Date Year]],Tbl_A1_DateTimeFunctions_01[[#This Row],[Start Date Month]]-3,Tbl_A1_DateTimeFunctions_01[[#This Row],[Start Date Day]]-5)</f>
        <v>#NUM!</v>
      </c>
      <c r="Q24" s="81"/>
      <c r="R24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4" s="89">
        <f>WEEKDAY(Tbl_A1_DateTimeFunctions_01[[#This Row],[Work Start Date]])</f>
        <v>2</v>
      </c>
      <c r="T24" s="81"/>
      <c r="U24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4" s="89">
        <f>HOUR(Tbl_A1_DateTimeFunctions_01[[#This Row],[Work Start Time]])</f>
        <v>6</v>
      </c>
      <c r="W24" s="81"/>
      <c r="X24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4" s="89">
        <f>MINUTE(Tbl_A1_DateTimeFunctions_01[[#This Row],[Work Start Time]])</f>
        <v>29</v>
      </c>
      <c r="Z24" s="81"/>
      <c r="AA24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4" s="89">
        <f>SECOND(Tbl_A1_DateTimeFunctions_01[[#This Row],[Work Start Time]])</f>
        <v>37</v>
      </c>
      <c r="AC24" s="97"/>
      <c r="AD24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4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5" spans="2:31" x14ac:dyDescent="0.25">
      <c r="B25" s="9">
        <v>18</v>
      </c>
      <c r="C25" s="10">
        <v>43255</v>
      </c>
      <c r="D25" s="95">
        <v>0.94982638888888893</v>
      </c>
      <c r="E25" s="81"/>
      <c r="F25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5" s="90">
        <f>YEAR(Tbl_A1_DateTimeFunctions_01[[#This Row],[Work Start Date]])</f>
        <v>2018</v>
      </c>
      <c r="H25" s="83"/>
      <c r="I25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5" s="90">
        <f>MONTH(Tbl_A1_DateTimeFunctions_01[[#This Row],[Work Start Date]])</f>
        <v>6</v>
      </c>
      <c r="K25" s="81"/>
      <c r="L25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5" s="89">
        <f>DAY(Tbl_A1_DateTimeFunctions_01[[#This Row],[Work Start Date]])</f>
        <v>4</v>
      </c>
      <c r="N25" s="92"/>
      <c r="O25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5" s="94" t="e">
        <f>DATE(Tbl_A1_DateTimeFunctions_01[[#This Row],[Start Date Year]],Tbl_A1_DateTimeFunctions_01[[#This Row],[Start Date Month]]-3,Tbl_A1_DateTimeFunctions_01[[#This Row],[Start Date Day]]-5)</f>
        <v>#NUM!</v>
      </c>
      <c r="Q25" s="81"/>
      <c r="R25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5" s="89">
        <f>WEEKDAY(Tbl_A1_DateTimeFunctions_01[[#This Row],[Work Start Date]])</f>
        <v>2</v>
      </c>
      <c r="T25" s="81"/>
      <c r="U25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5" s="89">
        <f>HOUR(Tbl_A1_DateTimeFunctions_01[[#This Row],[Work Start Time]])</f>
        <v>22</v>
      </c>
      <c r="W25" s="81"/>
      <c r="X25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5" s="89">
        <f>MINUTE(Tbl_A1_DateTimeFunctions_01[[#This Row],[Work Start Time]])</f>
        <v>47</v>
      </c>
      <c r="Z25" s="81"/>
      <c r="AA25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5" s="89">
        <f>SECOND(Tbl_A1_DateTimeFunctions_01[[#This Row],[Work Start Time]])</f>
        <v>45</v>
      </c>
      <c r="AC25" s="97"/>
      <c r="AD25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5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6" spans="2:31" x14ac:dyDescent="0.25">
      <c r="B26" s="9">
        <v>19</v>
      </c>
      <c r="C26" s="10">
        <v>43382</v>
      </c>
      <c r="D26" s="95">
        <v>0.63318287037037035</v>
      </c>
      <c r="E26" s="81"/>
      <c r="F26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6" s="90">
        <f>YEAR(Tbl_A1_DateTimeFunctions_01[[#This Row],[Work Start Date]])</f>
        <v>2018</v>
      </c>
      <c r="H26" s="83"/>
      <c r="I26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6" s="90">
        <f>MONTH(Tbl_A1_DateTimeFunctions_01[[#This Row],[Work Start Date]])</f>
        <v>10</v>
      </c>
      <c r="K26" s="81"/>
      <c r="L26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6" s="89">
        <f>DAY(Tbl_A1_DateTimeFunctions_01[[#This Row],[Work Start Date]])</f>
        <v>9</v>
      </c>
      <c r="N26" s="92"/>
      <c r="O26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6" s="94" t="e">
        <f>DATE(Tbl_A1_DateTimeFunctions_01[[#This Row],[Start Date Year]],Tbl_A1_DateTimeFunctions_01[[#This Row],[Start Date Month]]-3,Tbl_A1_DateTimeFunctions_01[[#This Row],[Start Date Day]]-5)</f>
        <v>#NUM!</v>
      </c>
      <c r="Q26" s="81"/>
      <c r="R26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6" s="89">
        <f>WEEKDAY(Tbl_A1_DateTimeFunctions_01[[#This Row],[Work Start Date]])</f>
        <v>3</v>
      </c>
      <c r="T26" s="81"/>
      <c r="U26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6" s="89">
        <f>HOUR(Tbl_A1_DateTimeFunctions_01[[#This Row],[Work Start Time]])</f>
        <v>15</v>
      </c>
      <c r="W26" s="81"/>
      <c r="X26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6" s="89">
        <f>MINUTE(Tbl_A1_DateTimeFunctions_01[[#This Row],[Work Start Time]])</f>
        <v>11</v>
      </c>
      <c r="Z26" s="81"/>
      <c r="AA26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6" s="89">
        <f>SECOND(Tbl_A1_DateTimeFunctions_01[[#This Row],[Work Start Time]])</f>
        <v>47</v>
      </c>
      <c r="AC26" s="97"/>
      <c r="AD26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6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7" spans="2:31" x14ac:dyDescent="0.25">
      <c r="B27" s="9">
        <v>20</v>
      </c>
      <c r="C27" s="10">
        <v>43484</v>
      </c>
      <c r="D27" s="95">
        <v>0.77722222222222215</v>
      </c>
      <c r="E27" s="81"/>
      <c r="F27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7" s="90">
        <f>YEAR(Tbl_A1_DateTimeFunctions_01[[#This Row],[Work Start Date]])</f>
        <v>2019</v>
      </c>
      <c r="H27" s="83"/>
      <c r="I27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7" s="90">
        <f>MONTH(Tbl_A1_DateTimeFunctions_01[[#This Row],[Work Start Date]])</f>
        <v>1</v>
      </c>
      <c r="K27" s="81"/>
      <c r="L27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7" s="89">
        <f>DAY(Tbl_A1_DateTimeFunctions_01[[#This Row],[Work Start Date]])</f>
        <v>19</v>
      </c>
      <c r="N27" s="92"/>
      <c r="O27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7" s="94" t="e">
        <f>DATE(Tbl_A1_DateTimeFunctions_01[[#This Row],[Start Date Year]],Tbl_A1_DateTimeFunctions_01[[#This Row],[Start Date Month]]-3,Tbl_A1_DateTimeFunctions_01[[#This Row],[Start Date Day]]-5)</f>
        <v>#NUM!</v>
      </c>
      <c r="Q27" s="81"/>
      <c r="R27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7" s="89">
        <f>WEEKDAY(Tbl_A1_DateTimeFunctions_01[[#This Row],[Work Start Date]])</f>
        <v>7</v>
      </c>
      <c r="T27" s="81"/>
      <c r="U27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7" s="89">
        <f>HOUR(Tbl_A1_DateTimeFunctions_01[[#This Row],[Work Start Time]])</f>
        <v>18</v>
      </c>
      <c r="W27" s="81"/>
      <c r="X27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7" s="89">
        <f>MINUTE(Tbl_A1_DateTimeFunctions_01[[#This Row],[Work Start Time]])</f>
        <v>39</v>
      </c>
      <c r="Z27" s="81"/>
      <c r="AA27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7" s="89">
        <f>SECOND(Tbl_A1_DateTimeFunctions_01[[#This Row],[Work Start Time]])</f>
        <v>12</v>
      </c>
      <c r="AC27" s="97"/>
      <c r="AD27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7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8" spans="2:31" x14ac:dyDescent="0.25">
      <c r="B28" s="9">
        <v>21</v>
      </c>
      <c r="C28" s="10">
        <v>42922</v>
      </c>
      <c r="D28" s="95">
        <v>0.65643518518518518</v>
      </c>
      <c r="E28" s="81"/>
      <c r="F28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8" s="90">
        <f>YEAR(Tbl_A1_DateTimeFunctions_01[[#This Row],[Work Start Date]])</f>
        <v>2017</v>
      </c>
      <c r="H28" s="83"/>
      <c r="I28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8" s="90">
        <f>MONTH(Tbl_A1_DateTimeFunctions_01[[#This Row],[Work Start Date]])</f>
        <v>7</v>
      </c>
      <c r="K28" s="81"/>
      <c r="L28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8" s="89">
        <f>DAY(Tbl_A1_DateTimeFunctions_01[[#This Row],[Work Start Date]])</f>
        <v>6</v>
      </c>
      <c r="N28" s="92"/>
      <c r="O28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8" s="94" t="e">
        <f>DATE(Tbl_A1_DateTimeFunctions_01[[#This Row],[Start Date Year]],Tbl_A1_DateTimeFunctions_01[[#This Row],[Start Date Month]]-3,Tbl_A1_DateTimeFunctions_01[[#This Row],[Start Date Day]]-5)</f>
        <v>#NUM!</v>
      </c>
      <c r="Q28" s="81"/>
      <c r="R28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8" s="89">
        <f>WEEKDAY(Tbl_A1_DateTimeFunctions_01[[#This Row],[Work Start Date]])</f>
        <v>5</v>
      </c>
      <c r="T28" s="81"/>
      <c r="U28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8" s="89">
        <f>HOUR(Tbl_A1_DateTimeFunctions_01[[#This Row],[Work Start Time]])</f>
        <v>15</v>
      </c>
      <c r="W28" s="81"/>
      <c r="X28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8" s="89">
        <f>MINUTE(Tbl_A1_DateTimeFunctions_01[[#This Row],[Work Start Time]])</f>
        <v>45</v>
      </c>
      <c r="Z28" s="81"/>
      <c r="AA28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8" s="89">
        <f>SECOND(Tbl_A1_DateTimeFunctions_01[[#This Row],[Work Start Time]])</f>
        <v>16</v>
      </c>
      <c r="AC28" s="97"/>
      <c r="AD28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8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29" spans="2:31" x14ac:dyDescent="0.25">
      <c r="B29" s="9">
        <v>22</v>
      </c>
      <c r="C29" s="10">
        <v>43455</v>
      </c>
      <c r="D29" s="95">
        <v>0.53509259259259256</v>
      </c>
      <c r="E29" s="81"/>
      <c r="F29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29" s="90">
        <f>YEAR(Tbl_A1_DateTimeFunctions_01[[#This Row],[Work Start Date]])</f>
        <v>2018</v>
      </c>
      <c r="H29" s="83"/>
      <c r="I29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29" s="90">
        <f>MONTH(Tbl_A1_DateTimeFunctions_01[[#This Row],[Work Start Date]])</f>
        <v>12</v>
      </c>
      <c r="K29" s="81"/>
      <c r="L29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29" s="89">
        <f>DAY(Tbl_A1_DateTimeFunctions_01[[#This Row],[Work Start Date]])</f>
        <v>21</v>
      </c>
      <c r="N29" s="92"/>
      <c r="O29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29" s="94" t="e">
        <f>DATE(Tbl_A1_DateTimeFunctions_01[[#This Row],[Start Date Year]],Tbl_A1_DateTimeFunctions_01[[#This Row],[Start Date Month]]-3,Tbl_A1_DateTimeFunctions_01[[#This Row],[Start Date Day]]-5)</f>
        <v>#NUM!</v>
      </c>
      <c r="Q29" s="81"/>
      <c r="R29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29" s="89">
        <f>WEEKDAY(Tbl_A1_DateTimeFunctions_01[[#This Row],[Work Start Date]])</f>
        <v>6</v>
      </c>
      <c r="T29" s="81"/>
      <c r="U29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29" s="89">
        <f>HOUR(Tbl_A1_DateTimeFunctions_01[[#This Row],[Work Start Time]])</f>
        <v>12</v>
      </c>
      <c r="W29" s="81"/>
      <c r="X29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29" s="89">
        <f>MINUTE(Tbl_A1_DateTimeFunctions_01[[#This Row],[Work Start Time]])</f>
        <v>50</v>
      </c>
      <c r="Z29" s="81"/>
      <c r="AA29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29" s="89">
        <f>SECOND(Tbl_A1_DateTimeFunctions_01[[#This Row],[Work Start Time]])</f>
        <v>32</v>
      </c>
      <c r="AC29" s="97"/>
      <c r="AD29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29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30" spans="2:31" x14ac:dyDescent="0.25">
      <c r="B30" s="9">
        <v>23</v>
      </c>
      <c r="C30" s="10">
        <v>43049</v>
      </c>
      <c r="D30" s="95">
        <v>0.98140046296296291</v>
      </c>
      <c r="E30" s="81"/>
      <c r="F30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30" s="90">
        <f>YEAR(Tbl_A1_DateTimeFunctions_01[[#This Row],[Work Start Date]])</f>
        <v>2017</v>
      </c>
      <c r="H30" s="83"/>
      <c r="I30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30" s="90">
        <f>MONTH(Tbl_A1_DateTimeFunctions_01[[#This Row],[Work Start Date]])</f>
        <v>11</v>
      </c>
      <c r="K30" s="81"/>
      <c r="L30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30" s="89">
        <f>DAY(Tbl_A1_DateTimeFunctions_01[[#This Row],[Work Start Date]])</f>
        <v>10</v>
      </c>
      <c r="N30" s="92"/>
      <c r="O30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30" s="94" t="e">
        <f>DATE(Tbl_A1_DateTimeFunctions_01[[#This Row],[Start Date Year]],Tbl_A1_DateTimeFunctions_01[[#This Row],[Start Date Month]]-3,Tbl_A1_DateTimeFunctions_01[[#This Row],[Start Date Day]]-5)</f>
        <v>#NUM!</v>
      </c>
      <c r="Q30" s="81"/>
      <c r="R30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30" s="89">
        <f>WEEKDAY(Tbl_A1_DateTimeFunctions_01[[#This Row],[Work Start Date]])</f>
        <v>6</v>
      </c>
      <c r="T30" s="81"/>
      <c r="U30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30" s="89">
        <f>HOUR(Tbl_A1_DateTimeFunctions_01[[#This Row],[Work Start Time]])</f>
        <v>23</v>
      </c>
      <c r="W30" s="81"/>
      <c r="X30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30" s="89">
        <f>MINUTE(Tbl_A1_DateTimeFunctions_01[[#This Row],[Work Start Time]])</f>
        <v>33</v>
      </c>
      <c r="Z30" s="81"/>
      <c r="AA30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30" s="89">
        <f>SECOND(Tbl_A1_DateTimeFunctions_01[[#This Row],[Work Start Time]])</f>
        <v>13</v>
      </c>
      <c r="AC30" s="97"/>
      <c r="AD30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30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  <row r="31" spans="2:31" x14ac:dyDescent="0.25">
      <c r="B31" s="9">
        <v>24</v>
      </c>
      <c r="C31" s="10">
        <v>42862</v>
      </c>
      <c r="D31" s="95">
        <v>0.94116898148148154</v>
      </c>
      <c r="E31" s="81"/>
      <c r="F31" s="44" t="str">
        <f>IFERROR(IF(Tbl_A1_DateTimeFunctions_01[[#This Row],[Start Date Year]]="","",IF(AND(_xlfn.ISFORMULA(Tbl_A1_DateTimeFunctions_01[[#This Row],[Start Date Year]]),EXACT(Tbl_A1_DateTimeFunctions_01[[#This Row],[Start Date Year]],Tbl_A1_DateTimeFunctions_01[[#This Row],[Start Date Year ANS]])),Rng_Lkp_AnswerStatus_Good,Rng_Lkp_AnswerStatus_Bad)),Rng_Lkp_AnswerStatus_Bad)</f>
        <v/>
      </c>
      <c r="G31" s="90">
        <f>YEAR(Tbl_A1_DateTimeFunctions_01[[#This Row],[Work Start Date]])</f>
        <v>2017</v>
      </c>
      <c r="H31" s="83"/>
      <c r="I31" s="44" t="str">
        <f>IFERROR(IF(Tbl_A1_DateTimeFunctions_01[[#This Row],[Start Date Month]]="","",IF(AND(_xlfn.ISFORMULA(Tbl_A1_DateTimeFunctions_01[[#This Row],[Start Date Month]]),EXACT(Tbl_A1_DateTimeFunctions_01[[#This Row],[Start Date Month]],Tbl_A1_DateTimeFunctions_01[[#This Row],[Start Date Month ANS]])),Rng_Lkp_AnswerStatus_Good,Rng_Lkp_AnswerStatus_Bad)),Rng_Lkp_AnswerStatus_Bad)</f>
        <v/>
      </c>
      <c r="J31" s="90">
        <f>MONTH(Tbl_A1_DateTimeFunctions_01[[#This Row],[Work Start Date]])</f>
        <v>5</v>
      </c>
      <c r="K31" s="81"/>
      <c r="L31" s="16" t="str">
        <f>IFERROR(IF(Tbl_A1_DateTimeFunctions_01[[#This Row],[Start Date Day]]="","",IF(AND(_xlfn.ISFORMULA(Tbl_A1_DateTimeFunctions_01[[#This Row],[Start Date Day]]),EXACT(Tbl_A1_DateTimeFunctions_01[[#This Row],[Start Date Day]],Tbl_A1_DateTimeFunctions_01[[#This Row],[Start Date Day ANS]])),Rng_Lkp_AnswerStatus_Good,Rng_Lkp_AnswerStatus_Bad)),Rng_Lkp_AnswerStatus_Bad)</f>
        <v/>
      </c>
      <c r="M31" s="89">
        <f>DAY(Tbl_A1_DateTimeFunctions_01[[#This Row],[Work Start Date]])</f>
        <v>7</v>
      </c>
      <c r="N31" s="92"/>
      <c r="O31" s="16" t="str">
        <f>IFERROR(IF(Tbl_A1_DateTimeFunctions_01[[#This Row],[3 Months and 5 Days Before Start Date]]="","",IF(AND(_xlfn.ISFORMULA(Tbl_A1_DateTimeFunctions_01[[#This Row],[3 Months and 5 Days Before Start Date]]),EXACT(Tbl_A1_DateTimeFunctions_01[[#This Row],[3 Months and 5 Days Before Start Date]],Tbl_A1_DateTimeFunctions_01[[#This Row],[3 Months and 5 Days Before Start Date ANS]])),Rng_Lkp_AnswerStatus_Good,Rng_Lkp_AnswerStatus_Bad)),Rng_Lkp_AnswerStatus_Bad)</f>
        <v/>
      </c>
      <c r="P31" s="94" t="e">
        <f>DATE(Tbl_A1_DateTimeFunctions_01[[#This Row],[Start Date Year]],Tbl_A1_DateTimeFunctions_01[[#This Row],[Start Date Month]]-3,Tbl_A1_DateTimeFunctions_01[[#This Row],[Start Date Day]]-5)</f>
        <v>#NUM!</v>
      </c>
      <c r="Q31" s="81"/>
      <c r="R31" s="16" t="str">
        <f>IFERROR(IF(Tbl_A1_DateTimeFunctions_01[[#This Row],[Start Date Weekday (1-7)]]="","",IF(AND(_xlfn.ISFORMULA(Tbl_A1_DateTimeFunctions_01[[#This Row],[Start Date Weekday (1-7)]]),EXACT(Tbl_A1_DateTimeFunctions_01[[#This Row],[Start Date Weekday (1-7)]],Tbl_A1_DateTimeFunctions_01[[#This Row],[Start Date Weekday (1-7) ANS]])),Rng_Lkp_AnswerStatus_Good,Rng_Lkp_AnswerStatus_Bad)),Rng_Lkp_AnswerStatus_Bad)</f>
        <v/>
      </c>
      <c r="S31" s="89">
        <f>WEEKDAY(Tbl_A1_DateTimeFunctions_01[[#This Row],[Work Start Date]])</f>
        <v>1</v>
      </c>
      <c r="T31" s="81"/>
      <c r="U31" s="16" t="str">
        <f>IFERROR(IF(Tbl_A1_DateTimeFunctions_01[[#This Row],[Start Time Hour (0-24)]]="","",IF(AND(_xlfn.ISFORMULA(Tbl_A1_DateTimeFunctions_01[[#This Row],[Start Time Hour (0-24)]]),EXACT(Tbl_A1_DateTimeFunctions_01[[#This Row],[Start Time Hour (0-24)]],Tbl_A1_DateTimeFunctions_01[[#This Row],[Start Time Hour (1-24) ANS]])),Rng_Lkp_AnswerStatus_Good,Rng_Lkp_AnswerStatus_Bad)),Rng_Lkp_AnswerStatus_Bad)</f>
        <v/>
      </c>
      <c r="V31" s="89">
        <f>HOUR(Tbl_A1_DateTimeFunctions_01[[#This Row],[Work Start Time]])</f>
        <v>22</v>
      </c>
      <c r="W31" s="81"/>
      <c r="X31" s="16" t="str">
        <f>IFERROR(IF(Tbl_A1_DateTimeFunctions_01[[#This Row],[Start Time Minute]]="","",IF(AND(_xlfn.ISFORMULA(Tbl_A1_DateTimeFunctions_01[[#This Row],[Start Time Minute]]),EXACT(Tbl_A1_DateTimeFunctions_01[[#This Row],[Start Time Minute]],Tbl_A1_DateTimeFunctions_01[[#This Row],[Start Time Minute ANS]])),Rng_Lkp_AnswerStatus_Good,Rng_Lkp_AnswerStatus_Bad)),Rng_Lkp_AnswerStatus_Bad)</f>
        <v/>
      </c>
      <c r="Y31" s="89">
        <f>MINUTE(Tbl_A1_DateTimeFunctions_01[[#This Row],[Work Start Time]])</f>
        <v>35</v>
      </c>
      <c r="Z31" s="81"/>
      <c r="AA31" s="16" t="str">
        <f>IFERROR(IF(Tbl_A1_DateTimeFunctions_01[[#This Row],[Start Time Second]]="","",IF(AND(_xlfn.ISFORMULA(Tbl_A1_DateTimeFunctions_01[[#This Row],[Start Time Second]]),EXACT(Tbl_A1_DateTimeFunctions_01[[#This Row],[Start Time Second]],Tbl_A1_DateTimeFunctions_01[[#This Row],[Start Time Second ANS]])),Rng_Lkp_AnswerStatus_Good,Rng_Lkp_AnswerStatus_Bad)),Rng_Lkp_AnswerStatus_Bad)</f>
        <v/>
      </c>
      <c r="AB31" s="89">
        <f>SECOND(Tbl_A1_DateTimeFunctions_01[[#This Row],[Work Start Time]])</f>
        <v>17</v>
      </c>
      <c r="AC31" s="97"/>
      <c r="AD31" s="16" t="str">
        <f>IFERROR(IF(Tbl_A1_DateTimeFunctions_01[[#This Row],[2 Hours and 10 Minutes After Start Time]]="","",IF(AND(_xlfn.ISFORMULA(Tbl_A1_DateTimeFunctions_01[[#This Row],[2 Hours and 10 Minutes After Start Time]]),EXACT(Tbl_A1_DateTimeFunctions_01[[#This Row],[2 Hours and 10 Minutes After Start Time]],Tbl_A1_DateTimeFunctions_01[[#This Row],[2 Hours and 10 Minutes After Start Time ANS]])),Rng_Lkp_AnswerStatus_Good,Rng_Lkp_AnswerStatus_Bad)),Rng_Lkp_AnswerStatus_Bad)</f>
        <v/>
      </c>
      <c r="AE31" s="99">
        <f>TIME(Tbl_A1_DateTimeFunctions_01[[#This Row],[Start Time Hour (0-24)]]+2,Tbl_A1_DateTimeFunctions_01[[#This Row],[Start Time Minute]]+10,Tbl_A1_DateTimeFunctions_01[[#This Row],[Start Time Second]])</f>
        <v>9.0277777777777776E-2</v>
      </c>
    </row>
  </sheetData>
  <conditionalFormatting sqref="B5:B6 F6 I6 L6 O6 R6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AE31">
    <cfRule type="cellIs" dxfId="7" priority="4" operator="equal">
      <formula>Rng_Lkp_AnswerStatus_Bad</formula>
    </cfRule>
    <cfRule type="cellIs" dxfId="6" priority="5" operator="equal">
      <formula>Rng_Lkp_AnswerStatus_Good</formula>
    </cfRule>
  </conditionalFormatting>
  <conditionalFormatting sqref="U6">
    <cfRule type="colorScale" priority="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X6 AA6 AD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99A4-E196-4DE4-B9BC-5F8CB670A962}">
  <sheetPr>
    <tabColor rgb="FFFFFF66"/>
  </sheetPr>
  <dimension ref="A1:AF31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5" outlineLevelRow="1" outlineLevelCol="1" x14ac:dyDescent="0.25"/>
  <cols>
    <col min="1" max="1" width="2.5703125" style="8" customWidth="1"/>
    <col min="2" max="2" width="6.140625" style="8" bestFit="1" customWidth="1"/>
    <col min="3" max="3" width="12.7109375" style="8" bestFit="1" customWidth="1"/>
    <col min="4" max="4" width="9.7109375" style="8" customWidth="1"/>
    <col min="5" max="5" width="19.140625" style="8" customWidth="1"/>
    <col min="6" max="6" width="8.140625" style="8" bestFit="1" customWidth="1"/>
    <col min="7" max="7" width="17" style="8" hidden="1" customWidth="1" outlineLevel="1"/>
    <col min="8" max="8" width="19.5703125" style="8" bestFit="1" customWidth="1" collapsed="1"/>
    <col min="9" max="9" width="8.140625" style="8" bestFit="1" customWidth="1"/>
    <col min="10" max="10" width="14.7109375" style="8" hidden="1" customWidth="1" outlineLevel="1"/>
    <col min="11" max="11" width="8.42578125" style="8" bestFit="1" customWidth="1" collapsed="1"/>
    <col min="12" max="12" width="8.140625" style="8" bestFit="1" customWidth="1"/>
    <col min="13" max="13" width="10.28515625" style="8" hidden="1" customWidth="1" outlineLevel="1"/>
    <col min="14" max="14" width="8.7109375" style="8" bestFit="1" customWidth="1" collapsed="1"/>
    <col min="15" max="15" width="8.140625" style="8" bestFit="1" customWidth="1"/>
    <col min="16" max="16" width="11" style="8" hidden="1" customWidth="1" outlineLevel="1"/>
    <col min="17" max="17" width="8.42578125" style="8" bestFit="1" customWidth="1" collapsed="1"/>
    <col min="18" max="18" width="8.140625" style="8" bestFit="1" customWidth="1"/>
    <col min="19" max="19" width="10.42578125" style="8" hidden="1" customWidth="1" outlineLevel="1"/>
    <col min="20" max="20" width="12" style="8" customWidth="1" collapsed="1"/>
    <col min="21" max="21" width="8.140625" style="8" bestFit="1" customWidth="1"/>
    <col min="22" max="22" width="15.140625" style="8" hidden="1" customWidth="1" outlineLevel="1"/>
    <col min="23" max="23" width="12.7109375" style="8" bestFit="1" customWidth="1" collapsed="1"/>
    <col min="24" max="24" width="8.140625" style="8" bestFit="1" customWidth="1"/>
    <col min="25" max="25" width="16.140625" style="8" hidden="1" customWidth="1" outlineLevel="1"/>
    <col min="26" max="26" width="12.7109375" style="8" bestFit="1" customWidth="1" collapsed="1"/>
    <col min="27" max="27" width="8.140625" style="8" bestFit="1" customWidth="1"/>
    <col min="28" max="28" width="13.5703125" style="8" hidden="1" customWidth="1" outlineLevel="1"/>
    <col min="29" max="29" width="24.85546875" style="8" customWidth="1" collapsed="1"/>
    <col min="30" max="30" width="8.140625" style="8" bestFit="1" customWidth="1"/>
    <col min="31" max="31" width="24.85546875" style="8" hidden="1" customWidth="1" outlineLevel="1"/>
    <col min="32" max="32" width="9.140625" style="8" collapsed="1"/>
    <col min="33" max="16384" width="9.140625" style="8"/>
  </cols>
  <sheetData>
    <row r="1" spans="1:31" s="6" customFormat="1" ht="21" x14ac:dyDescent="0.35">
      <c r="A1" s="36"/>
      <c r="B1" s="3"/>
      <c r="E1" s="38" t="s">
        <v>162</v>
      </c>
      <c r="K1" s="113" t="s">
        <v>213</v>
      </c>
      <c r="T1" s="113"/>
    </row>
    <row r="2" spans="1:31" s="6" customFormat="1" ht="18.75" x14ac:dyDescent="0.3">
      <c r="A2" s="37"/>
      <c r="B2" s="7"/>
      <c r="E2" s="39" t="s">
        <v>19</v>
      </c>
    </row>
    <row r="3" spans="1:31" ht="6.95" customHeight="1" x14ac:dyDescent="0.25"/>
    <row r="4" spans="1:31" x14ac:dyDescent="0.25">
      <c r="C4" s="77"/>
      <c r="D4" s="76" t="s">
        <v>17</v>
      </c>
      <c r="E4" s="19">
        <v>1</v>
      </c>
      <c r="F4" s="12"/>
      <c r="G4" s="12"/>
      <c r="H4" s="19">
        <v>2</v>
      </c>
      <c r="I4" s="12"/>
      <c r="J4" s="12"/>
      <c r="K4" s="19">
        <v>3</v>
      </c>
      <c r="L4" s="12"/>
      <c r="M4" s="12"/>
      <c r="N4" s="19">
        <v>4</v>
      </c>
      <c r="O4" s="12"/>
      <c r="P4" s="12"/>
      <c r="Q4" s="19">
        <v>5</v>
      </c>
      <c r="R4" s="12"/>
      <c r="S4" s="12"/>
      <c r="T4" s="19">
        <v>6</v>
      </c>
      <c r="U4" s="12"/>
      <c r="V4" s="12"/>
      <c r="W4" s="19">
        <v>7</v>
      </c>
      <c r="X4" s="12"/>
      <c r="Y4" s="12"/>
      <c r="Z4" s="19">
        <v>8</v>
      </c>
      <c r="AA4" s="12"/>
      <c r="AB4" s="12"/>
      <c r="AC4" s="19">
        <v>9</v>
      </c>
      <c r="AD4" s="12"/>
      <c r="AE4" s="12"/>
    </row>
    <row r="5" spans="1:31" hidden="1" outlineLevel="1" x14ac:dyDescent="0.25">
      <c r="B5" s="25" t="str">
        <f>IFERROR(IF(SUMIFS(E5:AE5,E4:AE4,"&gt;=0")=0,"",SUMIFS(E5:AE5,E4:AE4,"&gt;=0")/SUMIFS(E5:AE5,E6:AE6,"ANSWER")),"")</f>
        <v/>
      </c>
      <c r="C5" s="22" t="s">
        <v>8</v>
      </c>
      <c r="D5" s="69"/>
      <c r="E5" s="23">
        <f>IFERROR(COUNTA(Tbl_BONUS_01_DateTimeFunctions_01[Days of Work (End Date MINUS Start Date)]),"")</f>
        <v>0</v>
      </c>
      <c r="F5" s="24">
        <f>IFERROR(COUNTIF(Tbl_BONUS_01_DateTimeFunctions_01[Answer Status Q01],Rng_Lkp_AnswerStatus_Good),"")</f>
        <v>0</v>
      </c>
      <c r="G5" s="24">
        <f>IFERROR(COUNTA(Tbl_BONUS_01_DateTimeFunctions_01[Days of Work (End Date MINUS Start Date) ANS]),"")</f>
        <v>24</v>
      </c>
      <c r="H5" s="23">
        <f>IFERROR(COUNTA(Tbl_BONUS_01_DateTimeFunctions_01[Years of Work (Days DIVIDED by 365.25)]),"")</f>
        <v>0</v>
      </c>
      <c r="I5" s="24">
        <f>IFERROR(COUNTIF(Tbl_BONUS_01_DateTimeFunctions_01[Answer Status Q02],Rng_Lkp_AnswerStatus_Good),"")</f>
        <v>0</v>
      </c>
      <c r="J5" s="24">
        <f>IFERROR(COUNTA(Tbl_BONUS_01_DateTimeFunctions_01[Years of Work (Days DIVIDED by 365.25) ANS]),"")</f>
        <v>24</v>
      </c>
      <c r="K5" s="23">
        <f>IFERROR(COUNTA(Tbl_BONUS_01_DateTimeFunctions_01[Years of Work ("Y")]),"")</f>
        <v>0</v>
      </c>
      <c r="L5" s="24">
        <f>IFERROR(COUNTIF(Tbl_BONUS_01_DateTimeFunctions_01[Answer Status Q03],Rng_Lkp_AnswerStatus_Good),"")</f>
        <v>0</v>
      </c>
      <c r="M5" s="24">
        <f>IFERROR(COUNTA(Tbl_BONUS_01_DateTimeFunctions_01[Years of Work ("Y") ANS]),"")</f>
        <v>24</v>
      </c>
      <c r="N5" s="23">
        <f>IFERROR(COUNTA(Tbl_BONUS_01_DateTimeFunctions_01[Months of Work ("M")]),"")</f>
        <v>0</v>
      </c>
      <c r="O5" s="24">
        <f>IFERROR(COUNTIF(Tbl_BONUS_01_DateTimeFunctions_01[Answer Status Q04],Rng_Lkp_AnswerStatus_Good),"")</f>
        <v>0</v>
      </c>
      <c r="P5" s="24">
        <f>IFERROR(COUNTA(Tbl_BONUS_01_DateTimeFunctions_01[Months of Work ("M") ANS]),"")</f>
        <v>24</v>
      </c>
      <c r="Q5" s="23">
        <f>IFERROR(COUNTA(Tbl_BONUS_01_DateTimeFunctions_01[Days of Work ("D")]),"")</f>
        <v>0</v>
      </c>
      <c r="R5" s="24">
        <f>IFERROR(COUNTIF(Tbl_BONUS_01_DateTimeFunctions_01[Answer Status Q05],Rng_Lkp_AnswerStatus_Good),"")</f>
        <v>0</v>
      </c>
      <c r="S5" s="24">
        <f>IFERROR(COUNTA(Tbl_BONUS_01_DateTimeFunctions_01[Days of Work ("D") ANS]),"")</f>
        <v>24</v>
      </c>
      <c r="T5" s="23">
        <f>IFERROR(COUNTA(Tbl_BONUS_01_DateTimeFunctions_01[Years of Work ("Y") - Same as Q'#3]),"")</f>
        <v>0</v>
      </c>
      <c r="U5" s="24">
        <f>IFERROR(COUNTIF(Tbl_BONUS_01_DateTimeFunctions_01[Answer Status Q06],Rng_Lkp_AnswerStatus_Good),"")</f>
        <v>0</v>
      </c>
      <c r="V5" s="24">
        <f>IFERROR(COUNTA(Tbl_BONUS_01_DateTimeFunctions_01[Years of Work ("Y") - Same as Q'#3 ANS]),"")</f>
        <v>24</v>
      </c>
      <c r="W5" s="23">
        <f>IFERROR(COUNTA(Tbl_BONUS_01_DateTimeFunctions_01[Remaining Months of Work ("YM")]),"")</f>
        <v>0</v>
      </c>
      <c r="X5" s="24">
        <f>IFERROR(COUNTIF(Tbl_BONUS_01_DateTimeFunctions_01[Answer Status Q07],Rng_Lkp_AnswerStatus_Good),"")</f>
        <v>0</v>
      </c>
      <c r="Y5" s="24">
        <f>IFERROR(COUNTA(Tbl_BONUS_01_DateTimeFunctions_01[Remaining Months of Work ("YM") ANS]),"")</f>
        <v>24</v>
      </c>
      <c r="Z5" s="23">
        <f>IFERROR(COUNTA(Tbl_BONUS_01_DateTimeFunctions_01[Remaining Days of Work ("MD")]),"")</f>
        <v>0</v>
      </c>
      <c r="AA5" s="24">
        <f>IFERROR(COUNTIF(Tbl_BONUS_01_DateTimeFunctions_01[Answer Status Q08],Rng_Lkp_AnswerStatus_Good),"")</f>
        <v>0</v>
      </c>
      <c r="AB5" s="24">
        <f>IFERROR(COUNTA(Tbl_BONUS_01_DateTimeFunctions_01[Remaining Days of Work ("MD") ANS]),"")</f>
        <v>24</v>
      </c>
      <c r="AC5" s="23">
        <f>IFERROR(COUNTA(Tbl_BONUS_01_DateTimeFunctions_01[Duration of Work ("x years, x months, x days")]),"")</f>
        <v>0</v>
      </c>
      <c r="AD5" s="24">
        <f>IFERROR(COUNTIF(Tbl_BONUS_01_DateTimeFunctions_01[Answer Status Q09],Rng_Lkp_AnswerStatus_Good),"")</f>
        <v>0</v>
      </c>
      <c r="AE5" s="24">
        <f>IFERROR(COUNTA(Tbl_BONUS_01_DateTimeFunctions_01[Duration of Work ("x years, x months, x days") ANS]),"")</f>
        <v>24</v>
      </c>
    </row>
    <row r="6" spans="1:31" collapsed="1" x14ac:dyDescent="0.25">
      <c r="B6" s="25" t="str">
        <f>IFERROR(IF(SUMIFS(E5:AE5,E4:AE4,"&gt;=0")=0,"",SUMIFS(E5:AE5,E6:AE6,"&gt;=0", E6:AE6,"&lt;=1")/SUMIFS(E5:AE5,E4:AE4,"&gt;0")),"")</f>
        <v/>
      </c>
      <c r="C6" s="22" t="s">
        <v>9</v>
      </c>
      <c r="D6" s="69"/>
      <c r="E6" s="82" t="s">
        <v>193</v>
      </c>
      <c r="F6" s="17" t="str">
        <f>IFERROR(F5/E5,"")</f>
        <v/>
      </c>
      <c r="G6" s="85" t="s">
        <v>0</v>
      </c>
      <c r="H6" s="82" t="s">
        <v>194</v>
      </c>
      <c r="I6" s="17" t="str">
        <f>IFERROR(I5/H5,"")</f>
        <v/>
      </c>
      <c r="J6" s="85" t="s">
        <v>0</v>
      </c>
      <c r="K6" s="82" t="s">
        <v>195</v>
      </c>
      <c r="L6" s="17" t="str">
        <f>IFERROR(L5/K5,"")</f>
        <v/>
      </c>
      <c r="M6" s="85" t="s">
        <v>0</v>
      </c>
      <c r="N6" s="100" t="s">
        <v>195</v>
      </c>
      <c r="O6" s="17" t="str">
        <f>IFERROR(O5/N5,"")</f>
        <v/>
      </c>
      <c r="P6" s="85" t="s">
        <v>0</v>
      </c>
      <c r="Q6" s="82" t="s">
        <v>195</v>
      </c>
      <c r="R6" s="17" t="str">
        <f>IFERROR(R5/Q5,"")</f>
        <v/>
      </c>
      <c r="S6" s="85" t="s">
        <v>0</v>
      </c>
      <c r="T6" s="82" t="s">
        <v>195</v>
      </c>
      <c r="U6" s="17" t="str">
        <f>IFERROR(U5/T5,"")</f>
        <v/>
      </c>
      <c r="V6" s="85" t="s">
        <v>0</v>
      </c>
      <c r="W6" s="82" t="s">
        <v>195</v>
      </c>
      <c r="X6" s="17" t="str">
        <f>IFERROR(X5/W5,"")</f>
        <v/>
      </c>
      <c r="Y6" s="85" t="s">
        <v>0</v>
      </c>
      <c r="Z6" s="82" t="s">
        <v>195</v>
      </c>
      <c r="AA6" s="17" t="str">
        <f>IFERROR(AA5/Z5,"")</f>
        <v/>
      </c>
      <c r="AB6" s="85" t="s">
        <v>0</v>
      </c>
      <c r="AC6" s="19" t="s">
        <v>196</v>
      </c>
      <c r="AD6" s="17" t="str">
        <f>IFERROR(AD5/AC5,"")</f>
        <v/>
      </c>
      <c r="AE6" s="20" t="s">
        <v>0</v>
      </c>
    </row>
    <row r="7" spans="1:31" ht="45" x14ac:dyDescent="0.25">
      <c r="B7" s="14" t="s">
        <v>15</v>
      </c>
      <c r="C7" s="14" t="s">
        <v>164</v>
      </c>
      <c r="D7" s="14" t="s">
        <v>192</v>
      </c>
      <c r="E7" s="78" t="s">
        <v>197</v>
      </c>
      <c r="F7" s="15" t="s">
        <v>4</v>
      </c>
      <c r="G7" s="86" t="s">
        <v>205</v>
      </c>
      <c r="H7" s="78" t="s">
        <v>198</v>
      </c>
      <c r="I7" s="15" t="s">
        <v>5</v>
      </c>
      <c r="J7" s="86" t="s">
        <v>206</v>
      </c>
      <c r="K7" s="78" t="s">
        <v>199</v>
      </c>
      <c r="L7" s="15" t="s">
        <v>6</v>
      </c>
      <c r="M7" s="86" t="s">
        <v>207</v>
      </c>
      <c r="N7" s="78" t="s">
        <v>200</v>
      </c>
      <c r="O7" s="15" t="s">
        <v>7</v>
      </c>
      <c r="P7" s="86" t="s">
        <v>208</v>
      </c>
      <c r="Q7" s="84" t="s">
        <v>201</v>
      </c>
      <c r="R7" s="27" t="s">
        <v>10</v>
      </c>
      <c r="S7" s="87" t="s">
        <v>209</v>
      </c>
      <c r="T7" s="84" t="s">
        <v>214</v>
      </c>
      <c r="U7" s="27" t="s">
        <v>11</v>
      </c>
      <c r="V7" s="87" t="s">
        <v>215</v>
      </c>
      <c r="W7" s="84" t="s">
        <v>202</v>
      </c>
      <c r="X7" s="27" t="s">
        <v>18</v>
      </c>
      <c r="Y7" s="87" t="s">
        <v>210</v>
      </c>
      <c r="Z7" s="84" t="s">
        <v>203</v>
      </c>
      <c r="AA7" s="27" t="s">
        <v>30</v>
      </c>
      <c r="AB7" s="87" t="s">
        <v>211</v>
      </c>
      <c r="AC7" s="34" t="s">
        <v>204</v>
      </c>
      <c r="AD7" s="27" t="s">
        <v>94</v>
      </c>
      <c r="AE7" s="35" t="s">
        <v>212</v>
      </c>
    </row>
    <row r="8" spans="1:31" x14ac:dyDescent="0.25">
      <c r="B8" s="9">
        <v>1</v>
      </c>
      <c r="C8" s="10">
        <v>42941</v>
      </c>
      <c r="D8" s="10">
        <v>43105</v>
      </c>
      <c r="E8" s="104"/>
      <c r="F8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8" s="110">
        <f>Tbl_BONUS_01_DateTimeFunctions_01[[#This Row],[Work End Date]]-Tbl_BONUS_01_DateTimeFunctions_01[[#This Row],[Work Start Date]]</f>
        <v>164</v>
      </c>
      <c r="H8" s="101"/>
      <c r="I8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8" s="107">
        <f>Tbl_BONUS_01_DateTimeFunctions_01[[#This Row],[Days of Work (End Date MINUS Start Date)]]/365.25</f>
        <v>0</v>
      </c>
      <c r="K8" s="105"/>
      <c r="L8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8" s="110">
        <f>DATEDIF(Tbl_BONUS_01_DateTimeFunctions_01[[#This Row],[Work Start Date]],Tbl_BONUS_01_DateTimeFunctions_01[[#This Row],[Work End Date]],"Y")</f>
        <v>0</v>
      </c>
      <c r="N8" s="105"/>
      <c r="O8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8" s="110">
        <f>DATEDIF(Tbl_BONUS_01_DateTimeFunctions_01[[#This Row],[Work Start Date]],Tbl_BONUS_01_DateTimeFunctions_01[[#This Row],[Work End Date]],"M")</f>
        <v>5</v>
      </c>
      <c r="Q8" s="105"/>
      <c r="R8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8" s="110">
        <f>DATEDIF(Tbl_BONUS_01_DateTimeFunctions_01[[#This Row],[Work Start Date]],Tbl_BONUS_01_DateTimeFunctions_01[[#This Row],[Work End Date]],"D")</f>
        <v>164</v>
      </c>
      <c r="T8" s="105"/>
      <c r="U8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8" s="110">
        <f>DATEDIF(Tbl_BONUS_01_DateTimeFunctions_01[[#This Row],[Work Start Date]],Tbl_BONUS_01_DateTimeFunctions_01[[#This Row],[Work End Date]],"Y")</f>
        <v>0</v>
      </c>
      <c r="W8" s="105"/>
      <c r="X8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8" s="110">
        <f>DATEDIF(Tbl_BONUS_01_DateTimeFunctions_01[[#This Row],[Work Start Date]],Tbl_BONUS_01_DateTimeFunctions_01[[#This Row],[Work End Date]],"YM")</f>
        <v>5</v>
      </c>
      <c r="Z8" s="105"/>
      <c r="AA8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8" s="110">
        <f>DATEDIF(Tbl_BONUS_01_DateTimeFunctions_01[[#This Row],[Work Start Date]],Tbl_BONUS_01_DateTimeFunctions_01[[#This Row],[Work End Date]],"MD")</f>
        <v>11</v>
      </c>
      <c r="AC8" s="96"/>
      <c r="AD8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8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9" spans="1:31" x14ac:dyDescent="0.25">
      <c r="B9" s="9">
        <v>2</v>
      </c>
      <c r="C9" s="10">
        <v>43321</v>
      </c>
      <c r="D9" s="10">
        <v>43326</v>
      </c>
      <c r="E9" s="105"/>
      <c r="F9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9" s="110">
        <f>Tbl_BONUS_01_DateTimeFunctions_01[[#This Row],[Work End Date]]-Tbl_BONUS_01_DateTimeFunctions_01[[#This Row],[Work Start Date]]</f>
        <v>5</v>
      </c>
      <c r="H9" s="102"/>
      <c r="I9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9" s="107">
        <f>Tbl_BONUS_01_DateTimeFunctions_01[[#This Row],[Days of Work (End Date MINUS Start Date)]]/365.25</f>
        <v>0</v>
      </c>
      <c r="K9" s="105"/>
      <c r="L9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9" s="110">
        <f>DATEDIF(Tbl_BONUS_01_DateTimeFunctions_01[[#This Row],[Work Start Date]],Tbl_BONUS_01_DateTimeFunctions_01[[#This Row],[Work End Date]],"Y")</f>
        <v>0</v>
      </c>
      <c r="N9" s="105"/>
      <c r="O9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9" s="110">
        <f>DATEDIF(Tbl_BONUS_01_DateTimeFunctions_01[[#This Row],[Work Start Date]],Tbl_BONUS_01_DateTimeFunctions_01[[#This Row],[Work End Date]],"M")</f>
        <v>0</v>
      </c>
      <c r="Q9" s="105"/>
      <c r="R9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9" s="110">
        <f>DATEDIF(Tbl_BONUS_01_DateTimeFunctions_01[[#This Row],[Work Start Date]],Tbl_BONUS_01_DateTimeFunctions_01[[#This Row],[Work End Date]],"D")</f>
        <v>5</v>
      </c>
      <c r="T9" s="105"/>
      <c r="U9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9" s="110">
        <f>DATEDIF(Tbl_BONUS_01_DateTimeFunctions_01[[#This Row],[Work Start Date]],Tbl_BONUS_01_DateTimeFunctions_01[[#This Row],[Work End Date]],"Y")</f>
        <v>0</v>
      </c>
      <c r="W9" s="105"/>
      <c r="X9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9" s="110">
        <f>DATEDIF(Tbl_BONUS_01_DateTimeFunctions_01[[#This Row],[Work Start Date]],Tbl_BONUS_01_DateTimeFunctions_01[[#This Row],[Work End Date]],"YM")</f>
        <v>0</v>
      </c>
      <c r="Z9" s="105"/>
      <c r="AA9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9" s="110">
        <f>DATEDIF(Tbl_BONUS_01_DateTimeFunctions_01[[#This Row],[Work Start Date]],Tbl_BONUS_01_DateTimeFunctions_01[[#This Row],[Work End Date]],"MD")</f>
        <v>5</v>
      </c>
      <c r="AC9" s="96"/>
      <c r="AD9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9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0" spans="1:31" x14ac:dyDescent="0.25">
      <c r="B10" s="9">
        <v>3</v>
      </c>
      <c r="C10" s="10">
        <v>43074</v>
      </c>
      <c r="D10" s="10">
        <v>43098</v>
      </c>
      <c r="E10" s="105"/>
      <c r="F10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0" s="110">
        <f>Tbl_BONUS_01_DateTimeFunctions_01[[#This Row],[Work End Date]]-Tbl_BONUS_01_DateTimeFunctions_01[[#This Row],[Work Start Date]]</f>
        <v>24</v>
      </c>
      <c r="H10" s="102"/>
      <c r="I10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0" s="107">
        <f>Tbl_BONUS_01_DateTimeFunctions_01[[#This Row],[Days of Work (End Date MINUS Start Date)]]/365.25</f>
        <v>0</v>
      </c>
      <c r="K10" s="105"/>
      <c r="L10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0" s="110">
        <f>DATEDIF(Tbl_BONUS_01_DateTimeFunctions_01[[#This Row],[Work Start Date]],Tbl_BONUS_01_DateTimeFunctions_01[[#This Row],[Work End Date]],"Y")</f>
        <v>0</v>
      </c>
      <c r="N10" s="105"/>
      <c r="O10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0" s="110">
        <f>DATEDIF(Tbl_BONUS_01_DateTimeFunctions_01[[#This Row],[Work Start Date]],Tbl_BONUS_01_DateTimeFunctions_01[[#This Row],[Work End Date]],"M")</f>
        <v>0</v>
      </c>
      <c r="Q10" s="105"/>
      <c r="R10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0" s="110">
        <f>DATEDIF(Tbl_BONUS_01_DateTimeFunctions_01[[#This Row],[Work Start Date]],Tbl_BONUS_01_DateTimeFunctions_01[[#This Row],[Work End Date]],"D")</f>
        <v>24</v>
      </c>
      <c r="T10" s="105"/>
      <c r="U10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0" s="110">
        <f>DATEDIF(Tbl_BONUS_01_DateTimeFunctions_01[[#This Row],[Work Start Date]],Tbl_BONUS_01_DateTimeFunctions_01[[#This Row],[Work End Date]],"Y")</f>
        <v>0</v>
      </c>
      <c r="W10" s="105"/>
      <c r="X10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0" s="110">
        <f>DATEDIF(Tbl_BONUS_01_DateTimeFunctions_01[[#This Row],[Work Start Date]],Tbl_BONUS_01_DateTimeFunctions_01[[#This Row],[Work End Date]],"YM")</f>
        <v>0</v>
      </c>
      <c r="Z10" s="105"/>
      <c r="AA10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0" s="110">
        <f>DATEDIF(Tbl_BONUS_01_DateTimeFunctions_01[[#This Row],[Work Start Date]],Tbl_BONUS_01_DateTimeFunctions_01[[#This Row],[Work End Date]],"MD")</f>
        <v>24</v>
      </c>
      <c r="AC10" s="96"/>
      <c r="AD10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0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1" spans="1:31" x14ac:dyDescent="0.25">
      <c r="B11" s="9">
        <v>4</v>
      </c>
      <c r="C11" s="10">
        <v>42932</v>
      </c>
      <c r="D11" s="10">
        <v>43342</v>
      </c>
      <c r="E11" s="105"/>
      <c r="F11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1" s="110">
        <f>Tbl_BONUS_01_DateTimeFunctions_01[[#This Row],[Work End Date]]-Tbl_BONUS_01_DateTimeFunctions_01[[#This Row],[Work Start Date]]</f>
        <v>410</v>
      </c>
      <c r="H11" s="102"/>
      <c r="I11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1" s="107">
        <f>Tbl_BONUS_01_DateTimeFunctions_01[[#This Row],[Days of Work (End Date MINUS Start Date)]]/365.25</f>
        <v>0</v>
      </c>
      <c r="K11" s="105"/>
      <c r="L11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1" s="110">
        <f>DATEDIF(Tbl_BONUS_01_DateTimeFunctions_01[[#This Row],[Work Start Date]],Tbl_BONUS_01_DateTimeFunctions_01[[#This Row],[Work End Date]],"Y")</f>
        <v>1</v>
      </c>
      <c r="N11" s="105"/>
      <c r="O11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1" s="110">
        <f>DATEDIF(Tbl_BONUS_01_DateTimeFunctions_01[[#This Row],[Work Start Date]],Tbl_BONUS_01_DateTimeFunctions_01[[#This Row],[Work End Date]],"M")</f>
        <v>13</v>
      </c>
      <c r="Q11" s="105"/>
      <c r="R11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1" s="110">
        <f>DATEDIF(Tbl_BONUS_01_DateTimeFunctions_01[[#This Row],[Work Start Date]],Tbl_BONUS_01_DateTimeFunctions_01[[#This Row],[Work End Date]],"D")</f>
        <v>410</v>
      </c>
      <c r="T11" s="105"/>
      <c r="U11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1" s="110">
        <f>DATEDIF(Tbl_BONUS_01_DateTimeFunctions_01[[#This Row],[Work Start Date]],Tbl_BONUS_01_DateTimeFunctions_01[[#This Row],[Work End Date]],"Y")</f>
        <v>1</v>
      </c>
      <c r="W11" s="105"/>
      <c r="X11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1" s="110">
        <f>DATEDIF(Tbl_BONUS_01_DateTimeFunctions_01[[#This Row],[Work Start Date]],Tbl_BONUS_01_DateTimeFunctions_01[[#This Row],[Work End Date]],"YM")</f>
        <v>1</v>
      </c>
      <c r="Z11" s="105"/>
      <c r="AA11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1" s="110">
        <f>DATEDIF(Tbl_BONUS_01_DateTimeFunctions_01[[#This Row],[Work Start Date]],Tbl_BONUS_01_DateTimeFunctions_01[[#This Row],[Work End Date]],"MD")</f>
        <v>14</v>
      </c>
      <c r="AC11" s="96"/>
      <c r="AD11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1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2" spans="1:31" x14ac:dyDescent="0.25">
      <c r="B12" s="9">
        <v>5</v>
      </c>
      <c r="C12" s="10">
        <v>43390</v>
      </c>
      <c r="D12" s="10">
        <v>43540</v>
      </c>
      <c r="E12" s="105"/>
      <c r="F12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2" s="110">
        <f>Tbl_BONUS_01_DateTimeFunctions_01[[#This Row],[Work End Date]]-Tbl_BONUS_01_DateTimeFunctions_01[[#This Row],[Work Start Date]]</f>
        <v>150</v>
      </c>
      <c r="H12" s="102"/>
      <c r="I12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2" s="107">
        <f>Tbl_BONUS_01_DateTimeFunctions_01[[#This Row],[Days of Work (End Date MINUS Start Date)]]/365.25</f>
        <v>0</v>
      </c>
      <c r="K12" s="105"/>
      <c r="L12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2" s="110">
        <f>DATEDIF(Tbl_BONUS_01_DateTimeFunctions_01[[#This Row],[Work Start Date]],Tbl_BONUS_01_DateTimeFunctions_01[[#This Row],[Work End Date]],"Y")</f>
        <v>0</v>
      </c>
      <c r="N12" s="105"/>
      <c r="O12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2" s="110">
        <f>DATEDIF(Tbl_BONUS_01_DateTimeFunctions_01[[#This Row],[Work Start Date]],Tbl_BONUS_01_DateTimeFunctions_01[[#This Row],[Work End Date]],"M")</f>
        <v>4</v>
      </c>
      <c r="Q12" s="105"/>
      <c r="R12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2" s="110">
        <f>DATEDIF(Tbl_BONUS_01_DateTimeFunctions_01[[#This Row],[Work Start Date]],Tbl_BONUS_01_DateTimeFunctions_01[[#This Row],[Work End Date]],"D")</f>
        <v>150</v>
      </c>
      <c r="T12" s="105"/>
      <c r="U12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2" s="110">
        <f>DATEDIF(Tbl_BONUS_01_DateTimeFunctions_01[[#This Row],[Work Start Date]],Tbl_BONUS_01_DateTimeFunctions_01[[#This Row],[Work End Date]],"Y")</f>
        <v>0</v>
      </c>
      <c r="W12" s="105"/>
      <c r="X12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2" s="110">
        <f>DATEDIF(Tbl_BONUS_01_DateTimeFunctions_01[[#This Row],[Work Start Date]],Tbl_BONUS_01_DateTimeFunctions_01[[#This Row],[Work End Date]],"YM")</f>
        <v>4</v>
      </c>
      <c r="Z12" s="105"/>
      <c r="AA12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2" s="110">
        <f>DATEDIF(Tbl_BONUS_01_DateTimeFunctions_01[[#This Row],[Work Start Date]],Tbl_BONUS_01_DateTimeFunctions_01[[#This Row],[Work End Date]],"MD")</f>
        <v>27</v>
      </c>
      <c r="AC12" s="96"/>
      <c r="AD12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2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3" spans="1:31" x14ac:dyDescent="0.25">
      <c r="B13" s="9">
        <v>6</v>
      </c>
      <c r="C13" s="10">
        <v>43368</v>
      </c>
      <c r="D13" s="10">
        <v>44330</v>
      </c>
      <c r="E13" s="105"/>
      <c r="F13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3" s="110">
        <f>Tbl_BONUS_01_DateTimeFunctions_01[[#This Row],[Work End Date]]-Tbl_BONUS_01_DateTimeFunctions_01[[#This Row],[Work Start Date]]</f>
        <v>962</v>
      </c>
      <c r="H13" s="102"/>
      <c r="I13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3" s="107">
        <f>Tbl_BONUS_01_DateTimeFunctions_01[[#This Row],[Days of Work (End Date MINUS Start Date)]]/365.25</f>
        <v>0</v>
      </c>
      <c r="K13" s="105"/>
      <c r="L13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3" s="110">
        <f>DATEDIF(Tbl_BONUS_01_DateTimeFunctions_01[[#This Row],[Work Start Date]],Tbl_BONUS_01_DateTimeFunctions_01[[#This Row],[Work End Date]],"Y")</f>
        <v>2</v>
      </c>
      <c r="N13" s="105"/>
      <c r="O13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3" s="110">
        <f>DATEDIF(Tbl_BONUS_01_DateTimeFunctions_01[[#This Row],[Work Start Date]],Tbl_BONUS_01_DateTimeFunctions_01[[#This Row],[Work End Date]],"M")</f>
        <v>31</v>
      </c>
      <c r="Q13" s="105"/>
      <c r="R13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3" s="110">
        <f>DATEDIF(Tbl_BONUS_01_DateTimeFunctions_01[[#This Row],[Work Start Date]],Tbl_BONUS_01_DateTimeFunctions_01[[#This Row],[Work End Date]],"D")</f>
        <v>962</v>
      </c>
      <c r="T13" s="105"/>
      <c r="U13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3" s="110">
        <f>DATEDIF(Tbl_BONUS_01_DateTimeFunctions_01[[#This Row],[Work Start Date]],Tbl_BONUS_01_DateTimeFunctions_01[[#This Row],[Work End Date]],"Y")</f>
        <v>2</v>
      </c>
      <c r="W13" s="105"/>
      <c r="X13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3" s="110">
        <f>DATEDIF(Tbl_BONUS_01_DateTimeFunctions_01[[#This Row],[Work Start Date]],Tbl_BONUS_01_DateTimeFunctions_01[[#This Row],[Work End Date]],"YM")</f>
        <v>7</v>
      </c>
      <c r="Z13" s="105"/>
      <c r="AA13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3" s="110">
        <f>DATEDIF(Tbl_BONUS_01_DateTimeFunctions_01[[#This Row],[Work Start Date]],Tbl_BONUS_01_DateTimeFunctions_01[[#This Row],[Work End Date]],"MD")</f>
        <v>19</v>
      </c>
      <c r="AC13" s="96"/>
      <c r="AD13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3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4" spans="1:31" x14ac:dyDescent="0.25">
      <c r="B14" s="9">
        <v>7</v>
      </c>
      <c r="C14" s="10">
        <v>42986</v>
      </c>
      <c r="D14" s="10">
        <v>43159</v>
      </c>
      <c r="E14" s="105"/>
      <c r="F14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4" s="110">
        <f>Tbl_BONUS_01_DateTimeFunctions_01[[#This Row],[Work End Date]]-Tbl_BONUS_01_DateTimeFunctions_01[[#This Row],[Work Start Date]]</f>
        <v>173</v>
      </c>
      <c r="H14" s="102"/>
      <c r="I14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4" s="107">
        <f>Tbl_BONUS_01_DateTimeFunctions_01[[#This Row],[Days of Work (End Date MINUS Start Date)]]/365.25</f>
        <v>0</v>
      </c>
      <c r="K14" s="105"/>
      <c r="L14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4" s="110">
        <f>DATEDIF(Tbl_BONUS_01_DateTimeFunctions_01[[#This Row],[Work Start Date]],Tbl_BONUS_01_DateTimeFunctions_01[[#This Row],[Work End Date]],"Y")</f>
        <v>0</v>
      </c>
      <c r="N14" s="105"/>
      <c r="O14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4" s="110">
        <f>DATEDIF(Tbl_BONUS_01_DateTimeFunctions_01[[#This Row],[Work Start Date]],Tbl_BONUS_01_DateTimeFunctions_01[[#This Row],[Work End Date]],"M")</f>
        <v>5</v>
      </c>
      <c r="Q14" s="105"/>
      <c r="R14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4" s="110">
        <f>DATEDIF(Tbl_BONUS_01_DateTimeFunctions_01[[#This Row],[Work Start Date]],Tbl_BONUS_01_DateTimeFunctions_01[[#This Row],[Work End Date]],"D")</f>
        <v>173</v>
      </c>
      <c r="T14" s="105"/>
      <c r="U14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4" s="110">
        <f>DATEDIF(Tbl_BONUS_01_DateTimeFunctions_01[[#This Row],[Work Start Date]],Tbl_BONUS_01_DateTimeFunctions_01[[#This Row],[Work End Date]],"Y")</f>
        <v>0</v>
      </c>
      <c r="W14" s="105"/>
      <c r="X14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4" s="110">
        <f>DATEDIF(Tbl_BONUS_01_DateTimeFunctions_01[[#This Row],[Work Start Date]],Tbl_BONUS_01_DateTimeFunctions_01[[#This Row],[Work End Date]],"YM")</f>
        <v>5</v>
      </c>
      <c r="Z14" s="105"/>
      <c r="AA14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4" s="110">
        <f>DATEDIF(Tbl_BONUS_01_DateTimeFunctions_01[[#This Row],[Work Start Date]],Tbl_BONUS_01_DateTimeFunctions_01[[#This Row],[Work End Date]],"MD")</f>
        <v>20</v>
      </c>
      <c r="AC14" s="96"/>
      <c r="AD14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4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5" spans="1:31" x14ac:dyDescent="0.25">
      <c r="B15" s="9">
        <v>8</v>
      </c>
      <c r="C15" s="10">
        <v>43150</v>
      </c>
      <c r="D15" s="10">
        <v>43442</v>
      </c>
      <c r="E15" s="105"/>
      <c r="F15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5" s="110">
        <f>Tbl_BONUS_01_DateTimeFunctions_01[[#This Row],[Work End Date]]-Tbl_BONUS_01_DateTimeFunctions_01[[#This Row],[Work Start Date]]</f>
        <v>292</v>
      </c>
      <c r="H15" s="102"/>
      <c r="I15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5" s="107">
        <f>Tbl_BONUS_01_DateTimeFunctions_01[[#This Row],[Days of Work (End Date MINUS Start Date)]]/365.25</f>
        <v>0</v>
      </c>
      <c r="K15" s="105"/>
      <c r="L15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5" s="110">
        <f>DATEDIF(Tbl_BONUS_01_DateTimeFunctions_01[[#This Row],[Work Start Date]],Tbl_BONUS_01_DateTimeFunctions_01[[#This Row],[Work End Date]],"Y")</f>
        <v>0</v>
      </c>
      <c r="N15" s="105"/>
      <c r="O15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5" s="110">
        <f>DATEDIF(Tbl_BONUS_01_DateTimeFunctions_01[[#This Row],[Work Start Date]],Tbl_BONUS_01_DateTimeFunctions_01[[#This Row],[Work End Date]],"M")</f>
        <v>9</v>
      </c>
      <c r="Q15" s="105"/>
      <c r="R15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5" s="110">
        <f>DATEDIF(Tbl_BONUS_01_DateTimeFunctions_01[[#This Row],[Work Start Date]],Tbl_BONUS_01_DateTimeFunctions_01[[#This Row],[Work End Date]],"D")</f>
        <v>292</v>
      </c>
      <c r="T15" s="105"/>
      <c r="U15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5" s="110">
        <f>DATEDIF(Tbl_BONUS_01_DateTimeFunctions_01[[#This Row],[Work Start Date]],Tbl_BONUS_01_DateTimeFunctions_01[[#This Row],[Work End Date]],"Y")</f>
        <v>0</v>
      </c>
      <c r="W15" s="105"/>
      <c r="X15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5" s="110">
        <f>DATEDIF(Tbl_BONUS_01_DateTimeFunctions_01[[#This Row],[Work Start Date]],Tbl_BONUS_01_DateTimeFunctions_01[[#This Row],[Work End Date]],"YM")</f>
        <v>9</v>
      </c>
      <c r="Z15" s="105"/>
      <c r="AA15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5" s="110">
        <f>DATEDIF(Tbl_BONUS_01_DateTimeFunctions_01[[#This Row],[Work Start Date]],Tbl_BONUS_01_DateTimeFunctions_01[[#This Row],[Work End Date]],"MD")</f>
        <v>19</v>
      </c>
      <c r="AC15" s="96"/>
      <c r="AD15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5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6" spans="1:31" x14ac:dyDescent="0.25">
      <c r="B16" s="9">
        <v>9</v>
      </c>
      <c r="C16" s="10">
        <v>42920</v>
      </c>
      <c r="D16" s="10">
        <v>43865</v>
      </c>
      <c r="E16" s="105"/>
      <c r="F16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6" s="110">
        <f>Tbl_BONUS_01_DateTimeFunctions_01[[#This Row],[Work End Date]]-Tbl_BONUS_01_DateTimeFunctions_01[[#This Row],[Work Start Date]]</f>
        <v>945</v>
      </c>
      <c r="H16" s="102"/>
      <c r="I16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6" s="107">
        <f>Tbl_BONUS_01_DateTimeFunctions_01[[#This Row],[Days of Work (End Date MINUS Start Date)]]/365.25</f>
        <v>0</v>
      </c>
      <c r="K16" s="105"/>
      <c r="L16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6" s="110">
        <f>DATEDIF(Tbl_BONUS_01_DateTimeFunctions_01[[#This Row],[Work Start Date]],Tbl_BONUS_01_DateTimeFunctions_01[[#This Row],[Work End Date]],"Y")</f>
        <v>2</v>
      </c>
      <c r="N16" s="105"/>
      <c r="O16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6" s="110">
        <f>DATEDIF(Tbl_BONUS_01_DateTimeFunctions_01[[#This Row],[Work Start Date]],Tbl_BONUS_01_DateTimeFunctions_01[[#This Row],[Work End Date]],"M")</f>
        <v>31</v>
      </c>
      <c r="Q16" s="105"/>
      <c r="R16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6" s="110">
        <f>DATEDIF(Tbl_BONUS_01_DateTimeFunctions_01[[#This Row],[Work Start Date]],Tbl_BONUS_01_DateTimeFunctions_01[[#This Row],[Work End Date]],"D")</f>
        <v>945</v>
      </c>
      <c r="T16" s="105"/>
      <c r="U16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6" s="110">
        <f>DATEDIF(Tbl_BONUS_01_DateTimeFunctions_01[[#This Row],[Work Start Date]],Tbl_BONUS_01_DateTimeFunctions_01[[#This Row],[Work End Date]],"Y")</f>
        <v>2</v>
      </c>
      <c r="W16" s="105"/>
      <c r="X16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6" s="110">
        <f>DATEDIF(Tbl_BONUS_01_DateTimeFunctions_01[[#This Row],[Work Start Date]],Tbl_BONUS_01_DateTimeFunctions_01[[#This Row],[Work End Date]],"YM")</f>
        <v>7</v>
      </c>
      <c r="Z16" s="105"/>
      <c r="AA16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6" s="110">
        <f>DATEDIF(Tbl_BONUS_01_DateTimeFunctions_01[[#This Row],[Work Start Date]],Tbl_BONUS_01_DateTimeFunctions_01[[#This Row],[Work End Date]],"MD")</f>
        <v>0</v>
      </c>
      <c r="AC16" s="96"/>
      <c r="AD16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6" s="98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7" spans="2:31" x14ac:dyDescent="0.25">
      <c r="B17" s="9">
        <v>10</v>
      </c>
      <c r="C17" s="10">
        <v>43023</v>
      </c>
      <c r="D17" s="10">
        <v>43289</v>
      </c>
      <c r="E17" s="106"/>
      <c r="F17" s="16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7" s="111">
        <f>Tbl_BONUS_01_DateTimeFunctions_01[[#This Row],[Work End Date]]-Tbl_BONUS_01_DateTimeFunctions_01[[#This Row],[Work Start Date]]</f>
        <v>266</v>
      </c>
      <c r="H17" s="103"/>
      <c r="I17" s="16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7" s="108">
        <f>Tbl_BONUS_01_DateTimeFunctions_01[[#This Row],[Days of Work (End Date MINUS Start Date)]]/365.25</f>
        <v>0</v>
      </c>
      <c r="K17" s="106"/>
      <c r="L17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7" s="111">
        <f>DATEDIF(Tbl_BONUS_01_DateTimeFunctions_01[[#This Row],[Work Start Date]],Tbl_BONUS_01_DateTimeFunctions_01[[#This Row],[Work End Date]],"Y")</f>
        <v>0</v>
      </c>
      <c r="N17" s="106"/>
      <c r="O17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7" s="111">
        <f>DATEDIF(Tbl_BONUS_01_DateTimeFunctions_01[[#This Row],[Work Start Date]],Tbl_BONUS_01_DateTimeFunctions_01[[#This Row],[Work End Date]],"M")</f>
        <v>8</v>
      </c>
      <c r="Q17" s="106"/>
      <c r="R17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7" s="111">
        <f>DATEDIF(Tbl_BONUS_01_DateTimeFunctions_01[[#This Row],[Work Start Date]],Tbl_BONUS_01_DateTimeFunctions_01[[#This Row],[Work End Date]],"D")</f>
        <v>266</v>
      </c>
      <c r="T17" s="106"/>
      <c r="U17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7" s="111">
        <f>DATEDIF(Tbl_BONUS_01_DateTimeFunctions_01[[#This Row],[Work Start Date]],Tbl_BONUS_01_DateTimeFunctions_01[[#This Row],[Work End Date]],"Y")</f>
        <v>0</v>
      </c>
      <c r="W17" s="106"/>
      <c r="X17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7" s="111">
        <f>DATEDIF(Tbl_BONUS_01_DateTimeFunctions_01[[#This Row],[Work Start Date]],Tbl_BONUS_01_DateTimeFunctions_01[[#This Row],[Work End Date]],"YM")</f>
        <v>8</v>
      </c>
      <c r="Z17" s="106"/>
      <c r="AA17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7" s="111">
        <f>DATEDIF(Tbl_BONUS_01_DateTimeFunctions_01[[#This Row],[Work Start Date]],Tbl_BONUS_01_DateTimeFunctions_01[[#This Row],[Work End Date]],"MD")</f>
        <v>23</v>
      </c>
      <c r="AC17" s="97"/>
      <c r="AD17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7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8" spans="2:31" x14ac:dyDescent="0.25">
      <c r="B18" s="9">
        <v>11</v>
      </c>
      <c r="C18" s="10">
        <v>43092</v>
      </c>
      <c r="D18" s="10">
        <v>43721</v>
      </c>
      <c r="E18" s="106"/>
      <c r="F18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8" s="112">
        <f>Tbl_BONUS_01_DateTimeFunctions_01[[#This Row],[Work End Date]]-Tbl_BONUS_01_DateTimeFunctions_01[[#This Row],[Work Start Date]]</f>
        <v>629</v>
      </c>
      <c r="H18" s="114"/>
      <c r="I18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8" s="109">
        <f>Tbl_BONUS_01_DateTimeFunctions_01[[#This Row],[Days of Work (End Date MINUS Start Date)]]/365.25</f>
        <v>0</v>
      </c>
      <c r="K18" s="106"/>
      <c r="L18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8" s="111">
        <f>DATEDIF(Tbl_BONUS_01_DateTimeFunctions_01[[#This Row],[Work Start Date]],Tbl_BONUS_01_DateTimeFunctions_01[[#This Row],[Work End Date]],"Y")</f>
        <v>1</v>
      </c>
      <c r="N18" s="106"/>
      <c r="O18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8" s="111">
        <f>DATEDIF(Tbl_BONUS_01_DateTimeFunctions_01[[#This Row],[Work Start Date]],Tbl_BONUS_01_DateTimeFunctions_01[[#This Row],[Work End Date]],"M")</f>
        <v>20</v>
      </c>
      <c r="Q18" s="106"/>
      <c r="R18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8" s="111">
        <f>DATEDIF(Tbl_BONUS_01_DateTimeFunctions_01[[#This Row],[Work Start Date]],Tbl_BONUS_01_DateTimeFunctions_01[[#This Row],[Work End Date]],"D")</f>
        <v>629</v>
      </c>
      <c r="T18" s="106"/>
      <c r="U18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8" s="111">
        <f>DATEDIF(Tbl_BONUS_01_DateTimeFunctions_01[[#This Row],[Work Start Date]],Tbl_BONUS_01_DateTimeFunctions_01[[#This Row],[Work End Date]],"Y")</f>
        <v>1</v>
      </c>
      <c r="W18" s="106"/>
      <c r="X18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8" s="111">
        <f>DATEDIF(Tbl_BONUS_01_DateTimeFunctions_01[[#This Row],[Work Start Date]],Tbl_BONUS_01_DateTimeFunctions_01[[#This Row],[Work End Date]],"YM")</f>
        <v>8</v>
      </c>
      <c r="Z18" s="106"/>
      <c r="AA18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8" s="111">
        <f>DATEDIF(Tbl_BONUS_01_DateTimeFunctions_01[[#This Row],[Work Start Date]],Tbl_BONUS_01_DateTimeFunctions_01[[#This Row],[Work End Date]],"MD")</f>
        <v>21</v>
      </c>
      <c r="AC18" s="97"/>
      <c r="AD18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8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19" spans="2:31" x14ac:dyDescent="0.25">
      <c r="B19" s="9">
        <v>12</v>
      </c>
      <c r="C19" s="10">
        <v>43203</v>
      </c>
      <c r="D19" s="10">
        <v>43737</v>
      </c>
      <c r="E19" s="106"/>
      <c r="F19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19" s="112">
        <f>Tbl_BONUS_01_DateTimeFunctions_01[[#This Row],[Work End Date]]-Tbl_BONUS_01_DateTimeFunctions_01[[#This Row],[Work Start Date]]</f>
        <v>534</v>
      </c>
      <c r="H19" s="114"/>
      <c r="I19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19" s="109">
        <f>Tbl_BONUS_01_DateTimeFunctions_01[[#This Row],[Days of Work (End Date MINUS Start Date)]]/365.25</f>
        <v>0</v>
      </c>
      <c r="K19" s="106"/>
      <c r="L19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19" s="111">
        <f>DATEDIF(Tbl_BONUS_01_DateTimeFunctions_01[[#This Row],[Work Start Date]],Tbl_BONUS_01_DateTimeFunctions_01[[#This Row],[Work End Date]],"Y")</f>
        <v>1</v>
      </c>
      <c r="N19" s="106"/>
      <c r="O19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19" s="111">
        <f>DATEDIF(Tbl_BONUS_01_DateTimeFunctions_01[[#This Row],[Work Start Date]],Tbl_BONUS_01_DateTimeFunctions_01[[#This Row],[Work End Date]],"M")</f>
        <v>17</v>
      </c>
      <c r="Q19" s="106"/>
      <c r="R19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19" s="111">
        <f>DATEDIF(Tbl_BONUS_01_DateTimeFunctions_01[[#This Row],[Work Start Date]],Tbl_BONUS_01_DateTimeFunctions_01[[#This Row],[Work End Date]],"D")</f>
        <v>534</v>
      </c>
      <c r="T19" s="106"/>
      <c r="U19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19" s="111">
        <f>DATEDIF(Tbl_BONUS_01_DateTimeFunctions_01[[#This Row],[Work Start Date]],Tbl_BONUS_01_DateTimeFunctions_01[[#This Row],[Work End Date]],"Y")</f>
        <v>1</v>
      </c>
      <c r="W19" s="106"/>
      <c r="X19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19" s="111">
        <f>DATEDIF(Tbl_BONUS_01_DateTimeFunctions_01[[#This Row],[Work Start Date]],Tbl_BONUS_01_DateTimeFunctions_01[[#This Row],[Work End Date]],"YM")</f>
        <v>5</v>
      </c>
      <c r="Z19" s="106"/>
      <c r="AA19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19" s="111">
        <f>DATEDIF(Tbl_BONUS_01_DateTimeFunctions_01[[#This Row],[Work Start Date]],Tbl_BONUS_01_DateTimeFunctions_01[[#This Row],[Work End Date]],"MD")</f>
        <v>16</v>
      </c>
      <c r="AC19" s="97"/>
      <c r="AD19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19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0" spans="2:31" x14ac:dyDescent="0.25">
      <c r="B20" s="9">
        <v>13</v>
      </c>
      <c r="C20" s="10">
        <v>43532</v>
      </c>
      <c r="D20" s="10">
        <v>44299</v>
      </c>
      <c r="E20" s="106"/>
      <c r="F20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0" s="112">
        <f>Tbl_BONUS_01_DateTimeFunctions_01[[#This Row],[Work End Date]]-Tbl_BONUS_01_DateTimeFunctions_01[[#This Row],[Work Start Date]]</f>
        <v>767</v>
      </c>
      <c r="H20" s="114"/>
      <c r="I20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0" s="109">
        <f>Tbl_BONUS_01_DateTimeFunctions_01[[#This Row],[Days of Work (End Date MINUS Start Date)]]/365.25</f>
        <v>0</v>
      </c>
      <c r="K20" s="106"/>
      <c r="L20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0" s="111">
        <f>DATEDIF(Tbl_BONUS_01_DateTimeFunctions_01[[#This Row],[Work Start Date]],Tbl_BONUS_01_DateTimeFunctions_01[[#This Row],[Work End Date]],"Y")</f>
        <v>2</v>
      </c>
      <c r="N20" s="106"/>
      <c r="O20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0" s="111">
        <f>DATEDIF(Tbl_BONUS_01_DateTimeFunctions_01[[#This Row],[Work Start Date]],Tbl_BONUS_01_DateTimeFunctions_01[[#This Row],[Work End Date]],"M")</f>
        <v>25</v>
      </c>
      <c r="Q20" s="106"/>
      <c r="R20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0" s="111">
        <f>DATEDIF(Tbl_BONUS_01_DateTimeFunctions_01[[#This Row],[Work Start Date]],Tbl_BONUS_01_DateTimeFunctions_01[[#This Row],[Work End Date]],"D")</f>
        <v>767</v>
      </c>
      <c r="T20" s="106"/>
      <c r="U20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0" s="111">
        <f>DATEDIF(Tbl_BONUS_01_DateTimeFunctions_01[[#This Row],[Work Start Date]],Tbl_BONUS_01_DateTimeFunctions_01[[#This Row],[Work End Date]],"Y")</f>
        <v>2</v>
      </c>
      <c r="W20" s="106"/>
      <c r="X20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0" s="111">
        <f>DATEDIF(Tbl_BONUS_01_DateTimeFunctions_01[[#This Row],[Work Start Date]],Tbl_BONUS_01_DateTimeFunctions_01[[#This Row],[Work End Date]],"YM")</f>
        <v>1</v>
      </c>
      <c r="Z20" s="106"/>
      <c r="AA20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0" s="111">
        <f>DATEDIF(Tbl_BONUS_01_DateTimeFunctions_01[[#This Row],[Work Start Date]],Tbl_BONUS_01_DateTimeFunctions_01[[#This Row],[Work End Date]],"MD")</f>
        <v>5</v>
      </c>
      <c r="AC20" s="97"/>
      <c r="AD20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0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1" spans="2:31" x14ac:dyDescent="0.25">
      <c r="B21" s="9">
        <v>14</v>
      </c>
      <c r="C21" s="10">
        <v>43313</v>
      </c>
      <c r="D21" s="10">
        <v>44072</v>
      </c>
      <c r="E21" s="106"/>
      <c r="F21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1" s="112">
        <f>Tbl_BONUS_01_DateTimeFunctions_01[[#This Row],[Work End Date]]-Tbl_BONUS_01_DateTimeFunctions_01[[#This Row],[Work Start Date]]</f>
        <v>759</v>
      </c>
      <c r="H21" s="114"/>
      <c r="I21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1" s="109">
        <f>Tbl_BONUS_01_DateTimeFunctions_01[[#This Row],[Days of Work (End Date MINUS Start Date)]]/365.25</f>
        <v>0</v>
      </c>
      <c r="K21" s="106"/>
      <c r="L21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1" s="111">
        <f>DATEDIF(Tbl_BONUS_01_DateTimeFunctions_01[[#This Row],[Work Start Date]],Tbl_BONUS_01_DateTimeFunctions_01[[#This Row],[Work End Date]],"Y")</f>
        <v>2</v>
      </c>
      <c r="N21" s="106"/>
      <c r="O21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1" s="111">
        <f>DATEDIF(Tbl_BONUS_01_DateTimeFunctions_01[[#This Row],[Work Start Date]],Tbl_BONUS_01_DateTimeFunctions_01[[#This Row],[Work End Date]],"M")</f>
        <v>24</v>
      </c>
      <c r="Q21" s="106"/>
      <c r="R21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1" s="111">
        <f>DATEDIF(Tbl_BONUS_01_DateTimeFunctions_01[[#This Row],[Work Start Date]],Tbl_BONUS_01_DateTimeFunctions_01[[#This Row],[Work End Date]],"D")</f>
        <v>759</v>
      </c>
      <c r="T21" s="106"/>
      <c r="U21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1" s="111">
        <f>DATEDIF(Tbl_BONUS_01_DateTimeFunctions_01[[#This Row],[Work Start Date]],Tbl_BONUS_01_DateTimeFunctions_01[[#This Row],[Work End Date]],"Y")</f>
        <v>2</v>
      </c>
      <c r="W21" s="106"/>
      <c r="X21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1" s="111">
        <f>DATEDIF(Tbl_BONUS_01_DateTimeFunctions_01[[#This Row],[Work Start Date]],Tbl_BONUS_01_DateTimeFunctions_01[[#This Row],[Work End Date]],"YM")</f>
        <v>0</v>
      </c>
      <c r="Z21" s="106"/>
      <c r="AA21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1" s="111">
        <f>DATEDIF(Tbl_BONUS_01_DateTimeFunctions_01[[#This Row],[Work Start Date]],Tbl_BONUS_01_DateTimeFunctions_01[[#This Row],[Work End Date]],"MD")</f>
        <v>28</v>
      </c>
      <c r="AC21" s="97"/>
      <c r="AD21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1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2" spans="2:31" x14ac:dyDescent="0.25">
      <c r="B22" s="9">
        <v>15</v>
      </c>
      <c r="C22" s="10">
        <v>43234</v>
      </c>
      <c r="D22" s="10">
        <v>43648</v>
      </c>
      <c r="E22" s="106"/>
      <c r="F22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2" s="112">
        <f>Tbl_BONUS_01_DateTimeFunctions_01[[#This Row],[Work End Date]]-Tbl_BONUS_01_DateTimeFunctions_01[[#This Row],[Work Start Date]]</f>
        <v>414</v>
      </c>
      <c r="H22" s="114"/>
      <c r="I22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2" s="109">
        <f>Tbl_BONUS_01_DateTimeFunctions_01[[#This Row],[Days of Work (End Date MINUS Start Date)]]/365.25</f>
        <v>0</v>
      </c>
      <c r="K22" s="106"/>
      <c r="L22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2" s="111">
        <f>DATEDIF(Tbl_BONUS_01_DateTimeFunctions_01[[#This Row],[Work Start Date]],Tbl_BONUS_01_DateTimeFunctions_01[[#This Row],[Work End Date]],"Y")</f>
        <v>1</v>
      </c>
      <c r="N22" s="106"/>
      <c r="O22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2" s="111">
        <f>DATEDIF(Tbl_BONUS_01_DateTimeFunctions_01[[#This Row],[Work Start Date]],Tbl_BONUS_01_DateTimeFunctions_01[[#This Row],[Work End Date]],"M")</f>
        <v>13</v>
      </c>
      <c r="Q22" s="106"/>
      <c r="R22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2" s="111">
        <f>DATEDIF(Tbl_BONUS_01_DateTimeFunctions_01[[#This Row],[Work Start Date]],Tbl_BONUS_01_DateTimeFunctions_01[[#This Row],[Work End Date]],"D")</f>
        <v>414</v>
      </c>
      <c r="T22" s="106"/>
      <c r="U22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2" s="111">
        <f>DATEDIF(Tbl_BONUS_01_DateTimeFunctions_01[[#This Row],[Work Start Date]],Tbl_BONUS_01_DateTimeFunctions_01[[#This Row],[Work End Date]],"Y")</f>
        <v>1</v>
      </c>
      <c r="W22" s="106"/>
      <c r="X22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2" s="111">
        <f>DATEDIF(Tbl_BONUS_01_DateTimeFunctions_01[[#This Row],[Work Start Date]],Tbl_BONUS_01_DateTimeFunctions_01[[#This Row],[Work End Date]],"YM")</f>
        <v>1</v>
      </c>
      <c r="Z22" s="106"/>
      <c r="AA22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2" s="111">
        <f>DATEDIF(Tbl_BONUS_01_DateTimeFunctions_01[[#This Row],[Work Start Date]],Tbl_BONUS_01_DateTimeFunctions_01[[#This Row],[Work End Date]],"MD")</f>
        <v>18</v>
      </c>
      <c r="AC22" s="97"/>
      <c r="AD22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2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3" spans="2:31" x14ac:dyDescent="0.25">
      <c r="B23" s="9">
        <v>16</v>
      </c>
      <c r="C23" s="10">
        <v>43254</v>
      </c>
      <c r="D23" s="10">
        <v>43476</v>
      </c>
      <c r="E23" s="106"/>
      <c r="F23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3" s="112">
        <f>Tbl_BONUS_01_DateTimeFunctions_01[[#This Row],[Work End Date]]-Tbl_BONUS_01_DateTimeFunctions_01[[#This Row],[Work Start Date]]</f>
        <v>222</v>
      </c>
      <c r="H23" s="114"/>
      <c r="I23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3" s="109">
        <f>Tbl_BONUS_01_DateTimeFunctions_01[[#This Row],[Days of Work (End Date MINUS Start Date)]]/365.25</f>
        <v>0</v>
      </c>
      <c r="K23" s="106"/>
      <c r="L23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3" s="111">
        <f>DATEDIF(Tbl_BONUS_01_DateTimeFunctions_01[[#This Row],[Work Start Date]],Tbl_BONUS_01_DateTimeFunctions_01[[#This Row],[Work End Date]],"Y")</f>
        <v>0</v>
      </c>
      <c r="N23" s="106"/>
      <c r="O23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3" s="111">
        <f>DATEDIF(Tbl_BONUS_01_DateTimeFunctions_01[[#This Row],[Work Start Date]],Tbl_BONUS_01_DateTimeFunctions_01[[#This Row],[Work End Date]],"M")</f>
        <v>7</v>
      </c>
      <c r="Q23" s="106"/>
      <c r="R23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3" s="111">
        <f>DATEDIF(Tbl_BONUS_01_DateTimeFunctions_01[[#This Row],[Work Start Date]],Tbl_BONUS_01_DateTimeFunctions_01[[#This Row],[Work End Date]],"D")</f>
        <v>222</v>
      </c>
      <c r="T23" s="106"/>
      <c r="U23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3" s="111">
        <f>DATEDIF(Tbl_BONUS_01_DateTimeFunctions_01[[#This Row],[Work Start Date]],Tbl_BONUS_01_DateTimeFunctions_01[[#This Row],[Work End Date]],"Y")</f>
        <v>0</v>
      </c>
      <c r="W23" s="106"/>
      <c r="X23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3" s="111">
        <f>DATEDIF(Tbl_BONUS_01_DateTimeFunctions_01[[#This Row],[Work Start Date]],Tbl_BONUS_01_DateTimeFunctions_01[[#This Row],[Work End Date]],"YM")</f>
        <v>7</v>
      </c>
      <c r="Z23" s="106"/>
      <c r="AA23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3" s="111">
        <f>DATEDIF(Tbl_BONUS_01_DateTimeFunctions_01[[#This Row],[Work Start Date]],Tbl_BONUS_01_DateTimeFunctions_01[[#This Row],[Work End Date]],"MD")</f>
        <v>8</v>
      </c>
      <c r="AC23" s="97"/>
      <c r="AD23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3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4" spans="2:31" x14ac:dyDescent="0.25">
      <c r="B24" s="9">
        <v>17</v>
      </c>
      <c r="C24" s="10">
        <v>43493</v>
      </c>
      <c r="D24" s="10">
        <v>43533</v>
      </c>
      <c r="E24" s="106"/>
      <c r="F24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4" s="112">
        <f>Tbl_BONUS_01_DateTimeFunctions_01[[#This Row],[Work End Date]]-Tbl_BONUS_01_DateTimeFunctions_01[[#This Row],[Work Start Date]]</f>
        <v>40</v>
      </c>
      <c r="H24" s="114"/>
      <c r="I24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4" s="109">
        <f>Tbl_BONUS_01_DateTimeFunctions_01[[#This Row],[Days of Work (End Date MINUS Start Date)]]/365.25</f>
        <v>0</v>
      </c>
      <c r="K24" s="106"/>
      <c r="L24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4" s="111">
        <f>DATEDIF(Tbl_BONUS_01_DateTimeFunctions_01[[#This Row],[Work Start Date]],Tbl_BONUS_01_DateTimeFunctions_01[[#This Row],[Work End Date]],"Y")</f>
        <v>0</v>
      </c>
      <c r="N24" s="106"/>
      <c r="O24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4" s="111">
        <f>DATEDIF(Tbl_BONUS_01_DateTimeFunctions_01[[#This Row],[Work Start Date]],Tbl_BONUS_01_DateTimeFunctions_01[[#This Row],[Work End Date]],"M")</f>
        <v>1</v>
      </c>
      <c r="Q24" s="106"/>
      <c r="R24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4" s="111">
        <f>DATEDIF(Tbl_BONUS_01_DateTimeFunctions_01[[#This Row],[Work Start Date]],Tbl_BONUS_01_DateTimeFunctions_01[[#This Row],[Work End Date]],"D")</f>
        <v>40</v>
      </c>
      <c r="T24" s="106"/>
      <c r="U24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4" s="111">
        <f>DATEDIF(Tbl_BONUS_01_DateTimeFunctions_01[[#This Row],[Work Start Date]],Tbl_BONUS_01_DateTimeFunctions_01[[#This Row],[Work End Date]],"Y")</f>
        <v>0</v>
      </c>
      <c r="W24" s="106"/>
      <c r="X24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4" s="111">
        <f>DATEDIF(Tbl_BONUS_01_DateTimeFunctions_01[[#This Row],[Work Start Date]],Tbl_BONUS_01_DateTimeFunctions_01[[#This Row],[Work End Date]],"YM")</f>
        <v>1</v>
      </c>
      <c r="Z24" s="106"/>
      <c r="AA24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4" s="111">
        <f>DATEDIF(Tbl_BONUS_01_DateTimeFunctions_01[[#This Row],[Work Start Date]],Tbl_BONUS_01_DateTimeFunctions_01[[#This Row],[Work End Date]],"MD")</f>
        <v>9</v>
      </c>
      <c r="AC24" s="97"/>
      <c r="AD24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4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5" spans="2:31" x14ac:dyDescent="0.25">
      <c r="B25" s="9">
        <v>18</v>
      </c>
      <c r="C25" s="10">
        <v>43255</v>
      </c>
      <c r="D25" s="10">
        <v>43497</v>
      </c>
      <c r="E25" s="106"/>
      <c r="F25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5" s="112">
        <f>Tbl_BONUS_01_DateTimeFunctions_01[[#This Row],[Work End Date]]-Tbl_BONUS_01_DateTimeFunctions_01[[#This Row],[Work Start Date]]</f>
        <v>242</v>
      </c>
      <c r="H25" s="114"/>
      <c r="I25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5" s="109">
        <f>Tbl_BONUS_01_DateTimeFunctions_01[[#This Row],[Days of Work (End Date MINUS Start Date)]]/365.25</f>
        <v>0</v>
      </c>
      <c r="K25" s="106"/>
      <c r="L25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5" s="111">
        <f>DATEDIF(Tbl_BONUS_01_DateTimeFunctions_01[[#This Row],[Work Start Date]],Tbl_BONUS_01_DateTimeFunctions_01[[#This Row],[Work End Date]],"Y")</f>
        <v>0</v>
      </c>
      <c r="N25" s="106"/>
      <c r="O25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5" s="111">
        <f>DATEDIF(Tbl_BONUS_01_DateTimeFunctions_01[[#This Row],[Work Start Date]],Tbl_BONUS_01_DateTimeFunctions_01[[#This Row],[Work End Date]],"M")</f>
        <v>7</v>
      </c>
      <c r="Q25" s="106"/>
      <c r="R25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5" s="111">
        <f>DATEDIF(Tbl_BONUS_01_DateTimeFunctions_01[[#This Row],[Work Start Date]],Tbl_BONUS_01_DateTimeFunctions_01[[#This Row],[Work End Date]],"D")</f>
        <v>242</v>
      </c>
      <c r="T25" s="106"/>
      <c r="U25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5" s="111">
        <f>DATEDIF(Tbl_BONUS_01_DateTimeFunctions_01[[#This Row],[Work Start Date]],Tbl_BONUS_01_DateTimeFunctions_01[[#This Row],[Work End Date]],"Y")</f>
        <v>0</v>
      </c>
      <c r="W25" s="106"/>
      <c r="X25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5" s="111">
        <f>DATEDIF(Tbl_BONUS_01_DateTimeFunctions_01[[#This Row],[Work Start Date]],Tbl_BONUS_01_DateTimeFunctions_01[[#This Row],[Work End Date]],"YM")</f>
        <v>7</v>
      </c>
      <c r="Z25" s="106"/>
      <c r="AA25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5" s="111">
        <f>DATEDIF(Tbl_BONUS_01_DateTimeFunctions_01[[#This Row],[Work Start Date]],Tbl_BONUS_01_DateTimeFunctions_01[[#This Row],[Work End Date]],"MD")</f>
        <v>28</v>
      </c>
      <c r="AC25" s="97"/>
      <c r="AD25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5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6" spans="2:31" x14ac:dyDescent="0.25">
      <c r="B26" s="9">
        <v>19</v>
      </c>
      <c r="C26" s="10">
        <v>43382</v>
      </c>
      <c r="D26" s="10">
        <v>43657</v>
      </c>
      <c r="E26" s="106"/>
      <c r="F26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6" s="112">
        <f>Tbl_BONUS_01_DateTimeFunctions_01[[#This Row],[Work End Date]]-Tbl_BONUS_01_DateTimeFunctions_01[[#This Row],[Work Start Date]]</f>
        <v>275</v>
      </c>
      <c r="H26" s="114"/>
      <c r="I26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6" s="109">
        <f>Tbl_BONUS_01_DateTimeFunctions_01[[#This Row],[Days of Work (End Date MINUS Start Date)]]/365.25</f>
        <v>0</v>
      </c>
      <c r="K26" s="106"/>
      <c r="L26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6" s="111">
        <f>DATEDIF(Tbl_BONUS_01_DateTimeFunctions_01[[#This Row],[Work Start Date]],Tbl_BONUS_01_DateTimeFunctions_01[[#This Row],[Work End Date]],"Y")</f>
        <v>0</v>
      </c>
      <c r="N26" s="106"/>
      <c r="O26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6" s="111">
        <f>DATEDIF(Tbl_BONUS_01_DateTimeFunctions_01[[#This Row],[Work Start Date]],Tbl_BONUS_01_DateTimeFunctions_01[[#This Row],[Work End Date]],"M")</f>
        <v>9</v>
      </c>
      <c r="Q26" s="106"/>
      <c r="R26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6" s="111">
        <f>DATEDIF(Tbl_BONUS_01_DateTimeFunctions_01[[#This Row],[Work Start Date]],Tbl_BONUS_01_DateTimeFunctions_01[[#This Row],[Work End Date]],"D")</f>
        <v>275</v>
      </c>
      <c r="T26" s="106"/>
      <c r="U26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6" s="111">
        <f>DATEDIF(Tbl_BONUS_01_DateTimeFunctions_01[[#This Row],[Work Start Date]],Tbl_BONUS_01_DateTimeFunctions_01[[#This Row],[Work End Date]],"Y")</f>
        <v>0</v>
      </c>
      <c r="W26" s="106"/>
      <c r="X26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6" s="111">
        <f>DATEDIF(Tbl_BONUS_01_DateTimeFunctions_01[[#This Row],[Work Start Date]],Tbl_BONUS_01_DateTimeFunctions_01[[#This Row],[Work End Date]],"YM")</f>
        <v>9</v>
      </c>
      <c r="Z26" s="106"/>
      <c r="AA26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6" s="111">
        <f>DATEDIF(Tbl_BONUS_01_DateTimeFunctions_01[[#This Row],[Work Start Date]],Tbl_BONUS_01_DateTimeFunctions_01[[#This Row],[Work End Date]],"MD")</f>
        <v>2</v>
      </c>
      <c r="AC26" s="97"/>
      <c r="AD26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6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7" spans="2:31" x14ac:dyDescent="0.25">
      <c r="B27" s="9">
        <v>20</v>
      </c>
      <c r="C27" s="10">
        <v>43484</v>
      </c>
      <c r="D27" s="10">
        <v>44059</v>
      </c>
      <c r="E27" s="106"/>
      <c r="F27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7" s="112">
        <f>Tbl_BONUS_01_DateTimeFunctions_01[[#This Row],[Work End Date]]-Tbl_BONUS_01_DateTimeFunctions_01[[#This Row],[Work Start Date]]</f>
        <v>575</v>
      </c>
      <c r="H27" s="114"/>
      <c r="I27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7" s="109">
        <f>Tbl_BONUS_01_DateTimeFunctions_01[[#This Row],[Days of Work (End Date MINUS Start Date)]]/365.25</f>
        <v>0</v>
      </c>
      <c r="K27" s="106"/>
      <c r="L27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7" s="111">
        <f>DATEDIF(Tbl_BONUS_01_DateTimeFunctions_01[[#This Row],[Work Start Date]],Tbl_BONUS_01_DateTimeFunctions_01[[#This Row],[Work End Date]],"Y")</f>
        <v>1</v>
      </c>
      <c r="N27" s="106"/>
      <c r="O27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7" s="111">
        <f>DATEDIF(Tbl_BONUS_01_DateTimeFunctions_01[[#This Row],[Work Start Date]],Tbl_BONUS_01_DateTimeFunctions_01[[#This Row],[Work End Date]],"M")</f>
        <v>18</v>
      </c>
      <c r="Q27" s="106"/>
      <c r="R27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7" s="111">
        <f>DATEDIF(Tbl_BONUS_01_DateTimeFunctions_01[[#This Row],[Work Start Date]],Tbl_BONUS_01_DateTimeFunctions_01[[#This Row],[Work End Date]],"D")</f>
        <v>575</v>
      </c>
      <c r="T27" s="106"/>
      <c r="U27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7" s="111">
        <f>DATEDIF(Tbl_BONUS_01_DateTimeFunctions_01[[#This Row],[Work Start Date]],Tbl_BONUS_01_DateTimeFunctions_01[[#This Row],[Work End Date]],"Y")</f>
        <v>1</v>
      </c>
      <c r="W27" s="106"/>
      <c r="X27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7" s="111">
        <f>DATEDIF(Tbl_BONUS_01_DateTimeFunctions_01[[#This Row],[Work Start Date]],Tbl_BONUS_01_DateTimeFunctions_01[[#This Row],[Work End Date]],"YM")</f>
        <v>6</v>
      </c>
      <c r="Z27" s="106"/>
      <c r="AA27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7" s="111">
        <f>DATEDIF(Tbl_BONUS_01_DateTimeFunctions_01[[#This Row],[Work Start Date]],Tbl_BONUS_01_DateTimeFunctions_01[[#This Row],[Work End Date]],"MD")</f>
        <v>28</v>
      </c>
      <c r="AC27" s="97"/>
      <c r="AD27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7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8" spans="2:31" x14ac:dyDescent="0.25">
      <c r="B28" s="9">
        <v>21</v>
      </c>
      <c r="C28" s="10">
        <v>42922</v>
      </c>
      <c r="D28" s="10">
        <v>42963</v>
      </c>
      <c r="E28" s="106"/>
      <c r="F28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8" s="112">
        <f>Tbl_BONUS_01_DateTimeFunctions_01[[#This Row],[Work End Date]]-Tbl_BONUS_01_DateTimeFunctions_01[[#This Row],[Work Start Date]]</f>
        <v>41</v>
      </c>
      <c r="H28" s="114"/>
      <c r="I28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8" s="109">
        <f>Tbl_BONUS_01_DateTimeFunctions_01[[#This Row],[Days of Work (End Date MINUS Start Date)]]/365.25</f>
        <v>0</v>
      </c>
      <c r="K28" s="106"/>
      <c r="L28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8" s="111">
        <f>DATEDIF(Tbl_BONUS_01_DateTimeFunctions_01[[#This Row],[Work Start Date]],Tbl_BONUS_01_DateTimeFunctions_01[[#This Row],[Work End Date]],"Y")</f>
        <v>0</v>
      </c>
      <c r="N28" s="106"/>
      <c r="O28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8" s="111">
        <f>DATEDIF(Tbl_BONUS_01_DateTimeFunctions_01[[#This Row],[Work Start Date]],Tbl_BONUS_01_DateTimeFunctions_01[[#This Row],[Work End Date]],"M")</f>
        <v>1</v>
      </c>
      <c r="Q28" s="106"/>
      <c r="R28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8" s="111">
        <f>DATEDIF(Tbl_BONUS_01_DateTimeFunctions_01[[#This Row],[Work Start Date]],Tbl_BONUS_01_DateTimeFunctions_01[[#This Row],[Work End Date]],"D")</f>
        <v>41</v>
      </c>
      <c r="T28" s="106"/>
      <c r="U28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8" s="111">
        <f>DATEDIF(Tbl_BONUS_01_DateTimeFunctions_01[[#This Row],[Work Start Date]],Tbl_BONUS_01_DateTimeFunctions_01[[#This Row],[Work End Date]],"Y")</f>
        <v>0</v>
      </c>
      <c r="W28" s="106"/>
      <c r="X28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8" s="111">
        <f>DATEDIF(Tbl_BONUS_01_DateTimeFunctions_01[[#This Row],[Work Start Date]],Tbl_BONUS_01_DateTimeFunctions_01[[#This Row],[Work End Date]],"YM")</f>
        <v>1</v>
      </c>
      <c r="Z28" s="106"/>
      <c r="AA28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8" s="111">
        <f>DATEDIF(Tbl_BONUS_01_DateTimeFunctions_01[[#This Row],[Work Start Date]],Tbl_BONUS_01_DateTimeFunctions_01[[#This Row],[Work End Date]],"MD")</f>
        <v>10</v>
      </c>
      <c r="AC28" s="97"/>
      <c r="AD28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8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29" spans="2:31" x14ac:dyDescent="0.25">
      <c r="B29" s="9">
        <v>22</v>
      </c>
      <c r="C29" s="10">
        <v>43455</v>
      </c>
      <c r="D29" s="10">
        <v>44124</v>
      </c>
      <c r="E29" s="106"/>
      <c r="F29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29" s="112">
        <f>Tbl_BONUS_01_DateTimeFunctions_01[[#This Row],[Work End Date]]-Tbl_BONUS_01_DateTimeFunctions_01[[#This Row],[Work Start Date]]</f>
        <v>669</v>
      </c>
      <c r="H29" s="114"/>
      <c r="I29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29" s="109">
        <f>Tbl_BONUS_01_DateTimeFunctions_01[[#This Row],[Days of Work (End Date MINUS Start Date)]]/365.25</f>
        <v>0</v>
      </c>
      <c r="K29" s="106"/>
      <c r="L29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29" s="111">
        <f>DATEDIF(Tbl_BONUS_01_DateTimeFunctions_01[[#This Row],[Work Start Date]],Tbl_BONUS_01_DateTimeFunctions_01[[#This Row],[Work End Date]],"Y")</f>
        <v>1</v>
      </c>
      <c r="N29" s="106"/>
      <c r="O29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29" s="111">
        <f>DATEDIF(Tbl_BONUS_01_DateTimeFunctions_01[[#This Row],[Work Start Date]],Tbl_BONUS_01_DateTimeFunctions_01[[#This Row],[Work End Date]],"M")</f>
        <v>21</v>
      </c>
      <c r="Q29" s="106"/>
      <c r="R29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29" s="111">
        <f>DATEDIF(Tbl_BONUS_01_DateTimeFunctions_01[[#This Row],[Work Start Date]],Tbl_BONUS_01_DateTimeFunctions_01[[#This Row],[Work End Date]],"D")</f>
        <v>669</v>
      </c>
      <c r="T29" s="106"/>
      <c r="U29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29" s="111">
        <f>DATEDIF(Tbl_BONUS_01_DateTimeFunctions_01[[#This Row],[Work Start Date]],Tbl_BONUS_01_DateTimeFunctions_01[[#This Row],[Work End Date]],"Y")</f>
        <v>1</v>
      </c>
      <c r="W29" s="106"/>
      <c r="X29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29" s="111">
        <f>DATEDIF(Tbl_BONUS_01_DateTimeFunctions_01[[#This Row],[Work Start Date]],Tbl_BONUS_01_DateTimeFunctions_01[[#This Row],[Work End Date]],"YM")</f>
        <v>9</v>
      </c>
      <c r="Z29" s="106"/>
      <c r="AA29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29" s="111">
        <f>DATEDIF(Tbl_BONUS_01_DateTimeFunctions_01[[#This Row],[Work Start Date]],Tbl_BONUS_01_DateTimeFunctions_01[[#This Row],[Work End Date]],"MD")</f>
        <v>29</v>
      </c>
      <c r="AC29" s="97"/>
      <c r="AD29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29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30" spans="2:31" x14ac:dyDescent="0.25">
      <c r="B30" s="9">
        <v>23</v>
      </c>
      <c r="C30" s="10">
        <v>43049</v>
      </c>
      <c r="D30" s="10">
        <v>43692</v>
      </c>
      <c r="E30" s="106"/>
      <c r="F30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30" s="112">
        <f>Tbl_BONUS_01_DateTimeFunctions_01[[#This Row],[Work End Date]]-Tbl_BONUS_01_DateTimeFunctions_01[[#This Row],[Work Start Date]]</f>
        <v>643</v>
      </c>
      <c r="H30" s="114"/>
      <c r="I30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30" s="109">
        <f>Tbl_BONUS_01_DateTimeFunctions_01[[#This Row],[Days of Work (End Date MINUS Start Date)]]/365.25</f>
        <v>0</v>
      </c>
      <c r="K30" s="106"/>
      <c r="L30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30" s="111">
        <f>DATEDIF(Tbl_BONUS_01_DateTimeFunctions_01[[#This Row],[Work Start Date]],Tbl_BONUS_01_DateTimeFunctions_01[[#This Row],[Work End Date]],"Y")</f>
        <v>1</v>
      </c>
      <c r="N30" s="106"/>
      <c r="O30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30" s="111">
        <f>DATEDIF(Tbl_BONUS_01_DateTimeFunctions_01[[#This Row],[Work Start Date]],Tbl_BONUS_01_DateTimeFunctions_01[[#This Row],[Work End Date]],"M")</f>
        <v>21</v>
      </c>
      <c r="Q30" s="106"/>
      <c r="R30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30" s="111">
        <f>DATEDIF(Tbl_BONUS_01_DateTimeFunctions_01[[#This Row],[Work Start Date]],Tbl_BONUS_01_DateTimeFunctions_01[[#This Row],[Work End Date]],"D")</f>
        <v>643</v>
      </c>
      <c r="T30" s="106"/>
      <c r="U30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30" s="111">
        <f>DATEDIF(Tbl_BONUS_01_DateTimeFunctions_01[[#This Row],[Work Start Date]],Tbl_BONUS_01_DateTimeFunctions_01[[#This Row],[Work End Date]],"Y")</f>
        <v>1</v>
      </c>
      <c r="W30" s="106"/>
      <c r="X30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30" s="111">
        <f>DATEDIF(Tbl_BONUS_01_DateTimeFunctions_01[[#This Row],[Work Start Date]],Tbl_BONUS_01_DateTimeFunctions_01[[#This Row],[Work End Date]],"YM")</f>
        <v>9</v>
      </c>
      <c r="Z30" s="106"/>
      <c r="AA30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30" s="111">
        <f>DATEDIF(Tbl_BONUS_01_DateTimeFunctions_01[[#This Row],[Work Start Date]],Tbl_BONUS_01_DateTimeFunctions_01[[#This Row],[Work End Date]],"MD")</f>
        <v>5</v>
      </c>
      <c r="AC30" s="97"/>
      <c r="AD30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30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  <row r="31" spans="2:31" x14ac:dyDescent="0.25">
      <c r="B31" s="9">
        <v>24</v>
      </c>
      <c r="C31" s="10">
        <v>42862</v>
      </c>
      <c r="D31" s="10">
        <v>43492</v>
      </c>
      <c r="E31" s="106"/>
      <c r="F31" s="44" t="str">
        <f>IFERROR(IF(Tbl_BONUS_01_DateTimeFunctions_01[[#This Row],[Days of Work (End Date MINUS Start Date)]]="","",IF(AND(_xlfn.ISFORMULA(Tbl_BONUS_01_DateTimeFunctions_01[[#This Row],[Days of Work (End Date MINUS Start Date)]]),EXACT(Tbl_BONUS_01_DateTimeFunctions_01[[#This Row],[Days of Work (End Date MINUS Start Date)]],Tbl_BONUS_01_DateTimeFunctions_01[[#This Row],[Days of Work (End Date MINUS Start Date) ANS]])),Rng_Lkp_AnswerStatus_Good,Rng_Lkp_AnswerStatus_Bad)),Rng_Lkp_AnswerStatus_Bad)</f>
        <v/>
      </c>
      <c r="G31" s="112">
        <f>Tbl_BONUS_01_DateTimeFunctions_01[[#This Row],[Work End Date]]-Tbl_BONUS_01_DateTimeFunctions_01[[#This Row],[Work Start Date]]</f>
        <v>630</v>
      </c>
      <c r="H31" s="114"/>
      <c r="I31" s="44" t="str">
        <f>IFERROR(IF(Tbl_BONUS_01_DateTimeFunctions_01[[#This Row],[Years of Work (Days DIVIDED by 365.25)]]="","",IF(AND(_xlfn.ISFORMULA(Tbl_BONUS_01_DateTimeFunctions_01[[#This Row],[Years of Work (Days DIVIDED by 365.25)]]),EXACT(Tbl_BONUS_01_DateTimeFunctions_01[[#This Row],[Years of Work (Days DIVIDED by 365.25)]],Tbl_BONUS_01_DateTimeFunctions_01[[#This Row],[Years of Work (Days DIVIDED by 365.25) ANS]])),Rng_Lkp_AnswerStatus_Good,Rng_Lkp_AnswerStatus_Bad)),Rng_Lkp_AnswerStatus_Bad)</f>
        <v/>
      </c>
      <c r="J31" s="109">
        <f>Tbl_BONUS_01_DateTimeFunctions_01[[#This Row],[Days of Work (End Date MINUS Start Date)]]/365.25</f>
        <v>0</v>
      </c>
      <c r="K31" s="106"/>
      <c r="L31" s="16" t="str">
        <f>IFERROR(IF(Tbl_BONUS_01_DateTimeFunctions_01[[#This Row],[Years of Work ("Y")]]="","",IF(AND(_xlfn.ISFORMULA(Tbl_BONUS_01_DateTimeFunctions_01[[#This Row],[Years of Work ("Y")]]),EXACT(Tbl_BONUS_01_DateTimeFunctions_01[[#This Row],[Years of Work ("Y")]],Tbl_BONUS_01_DateTimeFunctions_01[[#This Row],[Years of Work ("Y") ANS]])),Rng_Lkp_AnswerStatus_Good,Rng_Lkp_AnswerStatus_Bad)),Rng_Lkp_AnswerStatus_Bad)</f>
        <v/>
      </c>
      <c r="M31" s="111">
        <f>DATEDIF(Tbl_BONUS_01_DateTimeFunctions_01[[#This Row],[Work Start Date]],Tbl_BONUS_01_DateTimeFunctions_01[[#This Row],[Work End Date]],"Y")</f>
        <v>1</v>
      </c>
      <c r="N31" s="106"/>
      <c r="O31" s="16" t="str">
        <f>IFERROR(IF(Tbl_BONUS_01_DateTimeFunctions_01[[#This Row],[Months of Work ("M")]]="","",IF(AND(_xlfn.ISFORMULA(Tbl_BONUS_01_DateTimeFunctions_01[[#This Row],[Months of Work ("M")]]),EXACT(Tbl_BONUS_01_DateTimeFunctions_01[[#This Row],[Months of Work ("M")]],Tbl_BONUS_01_DateTimeFunctions_01[[#This Row],[Months of Work ("M") ANS]])),Rng_Lkp_AnswerStatus_Good,Rng_Lkp_AnswerStatus_Bad)),Rng_Lkp_AnswerStatus_Bad)</f>
        <v/>
      </c>
      <c r="P31" s="111">
        <f>DATEDIF(Tbl_BONUS_01_DateTimeFunctions_01[[#This Row],[Work Start Date]],Tbl_BONUS_01_DateTimeFunctions_01[[#This Row],[Work End Date]],"M")</f>
        <v>20</v>
      </c>
      <c r="Q31" s="106"/>
      <c r="R31" s="16" t="str">
        <f>IFERROR(IF(Tbl_BONUS_01_DateTimeFunctions_01[[#This Row],[Days of Work ("D")]]="","",IF(AND(_xlfn.ISFORMULA(Tbl_BONUS_01_DateTimeFunctions_01[[#This Row],[Days of Work ("D")]]),EXACT(Tbl_BONUS_01_DateTimeFunctions_01[[#This Row],[Days of Work ("D")]],Tbl_BONUS_01_DateTimeFunctions_01[[#This Row],[Days of Work ("D") ANS]])),Rng_Lkp_AnswerStatus_Good,Rng_Lkp_AnswerStatus_Bad)),Rng_Lkp_AnswerStatus_Bad)</f>
        <v/>
      </c>
      <c r="S31" s="111">
        <f>DATEDIF(Tbl_BONUS_01_DateTimeFunctions_01[[#This Row],[Work Start Date]],Tbl_BONUS_01_DateTimeFunctions_01[[#This Row],[Work End Date]],"D")</f>
        <v>630</v>
      </c>
      <c r="T31" s="106"/>
      <c r="U31" s="16" t="str">
        <f>IFERROR(IF(Tbl_BONUS_01_DateTimeFunctions_01[[#This Row],[Years of Work ("Y") - Same as Q'#3]]="","",IF(AND(_xlfn.ISFORMULA(Tbl_BONUS_01_DateTimeFunctions_01[[#This Row],[Years of Work ("Y") - Same as Q'#3]]),EXACT(Tbl_BONUS_01_DateTimeFunctions_01[[#This Row],[Years of Work ("Y") - Same as Q'#3]],Tbl_BONUS_01_DateTimeFunctions_01[[#This Row],[Years of Work ("Y") - Same as Q'#3 ANS]])),Rng_Lkp_AnswerStatus_Good,Rng_Lkp_AnswerStatus_Bad)),Rng_Lkp_AnswerStatus_Bad)</f>
        <v/>
      </c>
      <c r="V31" s="111">
        <f>DATEDIF(Tbl_BONUS_01_DateTimeFunctions_01[[#This Row],[Work Start Date]],Tbl_BONUS_01_DateTimeFunctions_01[[#This Row],[Work End Date]],"Y")</f>
        <v>1</v>
      </c>
      <c r="W31" s="106"/>
      <c r="X31" s="16" t="str">
        <f>IFERROR(IF(Tbl_BONUS_01_DateTimeFunctions_01[[#This Row],[Remaining Months of Work ("YM")]]="","",IF(AND(_xlfn.ISFORMULA(Tbl_BONUS_01_DateTimeFunctions_01[[#This Row],[Remaining Months of Work ("YM")]]),EXACT(Tbl_BONUS_01_DateTimeFunctions_01[[#This Row],[Remaining Months of Work ("YM")]],Tbl_BONUS_01_DateTimeFunctions_01[[#This Row],[Remaining Months of Work ("YM") ANS]])),Rng_Lkp_AnswerStatus_Good,Rng_Lkp_AnswerStatus_Bad)),Rng_Lkp_AnswerStatus_Bad)</f>
        <v/>
      </c>
      <c r="Y31" s="111">
        <f>DATEDIF(Tbl_BONUS_01_DateTimeFunctions_01[[#This Row],[Work Start Date]],Tbl_BONUS_01_DateTimeFunctions_01[[#This Row],[Work End Date]],"YM")</f>
        <v>8</v>
      </c>
      <c r="Z31" s="106"/>
      <c r="AA31" s="16" t="str">
        <f>IFERROR(IF(Tbl_BONUS_01_DateTimeFunctions_01[[#This Row],[Remaining Days of Work ("MD")]]="","",IF(AND(_xlfn.ISFORMULA(Tbl_BONUS_01_DateTimeFunctions_01[[#This Row],[Remaining Days of Work ("MD")]]),EXACT(Tbl_BONUS_01_DateTimeFunctions_01[[#This Row],[Remaining Days of Work ("MD")]],Tbl_BONUS_01_DateTimeFunctions_01[[#This Row],[Remaining Days of Work ("MD") ANS]])),Rng_Lkp_AnswerStatus_Good,Rng_Lkp_AnswerStatus_Bad)),Rng_Lkp_AnswerStatus_Bad)</f>
        <v/>
      </c>
      <c r="AB31" s="111">
        <f>DATEDIF(Tbl_BONUS_01_DateTimeFunctions_01[[#This Row],[Work Start Date]],Tbl_BONUS_01_DateTimeFunctions_01[[#This Row],[Work End Date]],"MD")</f>
        <v>20</v>
      </c>
      <c r="AC31" s="97"/>
      <c r="AD31" s="16" t="str">
        <f>IFERROR(IF(Tbl_BONUS_01_DateTimeFunctions_01[[#This Row],[Duration of Work ("x years, x months, x days")]]="","",IF(AND(_xlfn.ISFORMULA(Tbl_BONUS_01_DateTimeFunctions_01[[#This Row],[Duration of Work ("x years, x months, x days")]]),EXACT(Tbl_BONUS_01_DateTimeFunctions_01[[#This Row],[Duration of Work ("x years, x months, x days")]],Tbl_BONUS_01_DateTimeFunctions_01[[#This Row],[Duration of Work ("x years, x months, x days") ANS]])),Rng_Lkp_AnswerStatus_Good,Rng_Lkp_AnswerStatus_Bad)),Rng_Lkp_AnswerStatus_Bad)</f>
        <v/>
      </c>
      <c r="AE31" s="99" t="str">
        <f>Tbl_BONUS_01_DateTimeFunctions_01[[#This Row],[Years of Work ("Y") - Same as Q'#3]] &amp; " years, " &amp; Tbl_BONUS_01_DateTimeFunctions_01[[#This Row],[Remaining Months of Work ("YM")]] &amp; " months, " &amp; Tbl_BONUS_01_DateTimeFunctions_01[[#This Row],[Remaining Days of Work ("MD")]] &amp; " days"</f>
        <v xml:space="preserve"> years,  months,  days</v>
      </c>
    </row>
  </sheetData>
  <conditionalFormatting sqref="B5:B6 F6 I6 L6 O6 R6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AE31">
    <cfRule type="cellIs" dxfId="5" priority="4" operator="equal">
      <formula>Rng_Lkp_AnswerStatus_Bad</formula>
    </cfRule>
    <cfRule type="cellIs" dxfId="4" priority="5" operator="equal">
      <formula>Rng_Lkp_AnswerStatus_Good</formula>
    </cfRule>
  </conditionalFormatting>
  <conditionalFormatting sqref="U6">
    <cfRule type="colorScale" priority="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X6 AA6 AD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E2AE-15F6-4FE8-9241-B539C79078EF}">
  <sheetPr>
    <tabColor theme="9"/>
  </sheetPr>
  <dimension ref="A1:AI33"/>
  <sheetViews>
    <sheetView showGridLines="0"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0" sqref="F10"/>
    </sheetView>
  </sheetViews>
  <sheetFormatPr defaultColWidth="9.140625" defaultRowHeight="15" outlineLevelRow="1" outlineLevelCol="1" x14ac:dyDescent="0.25"/>
  <cols>
    <col min="1" max="1" width="2.5703125" style="8" customWidth="1"/>
    <col min="2" max="2" width="6.140625" style="8" bestFit="1" customWidth="1"/>
    <col min="3" max="3" width="12.42578125" style="8" bestFit="1" customWidth="1"/>
    <col min="4" max="4" width="8.7109375" style="8" bestFit="1" customWidth="1"/>
    <col min="5" max="5" width="5.7109375" style="8" customWidth="1"/>
    <col min="6" max="6" width="10.140625" style="8" bestFit="1" customWidth="1"/>
    <col min="7" max="7" width="8.140625" style="8" bestFit="1" customWidth="1"/>
    <col min="8" max="8" width="10.7109375" style="8" hidden="1" customWidth="1" outlineLevel="1"/>
    <col min="9" max="9" width="10.5703125" style="8" bestFit="1" customWidth="1" collapsed="1"/>
    <col min="10" max="10" width="8.140625" style="8" bestFit="1" customWidth="1"/>
    <col min="11" max="11" width="11.140625" style="8" hidden="1" customWidth="1" outlineLevel="1"/>
    <col min="12" max="12" width="8.7109375" style="8" customWidth="1" collapsed="1"/>
    <col min="13" max="13" width="9.7109375" style="8" bestFit="1" customWidth="1"/>
    <col min="14" max="14" width="8.140625" style="8" bestFit="1" customWidth="1"/>
    <col min="15" max="15" width="11.140625" style="8" hidden="1" customWidth="1" outlineLevel="1"/>
    <col min="16" max="16" width="20" style="8" bestFit="1" customWidth="1" collapsed="1"/>
    <col min="17" max="17" width="8.140625" style="8" bestFit="1" customWidth="1"/>
    <col min="18" max="18" width="14.140625" style="8" hidden="1" customWidth="1" outlineLevel="1"/>
    <col min="19" max="19" width="20.5703125" style="8" bestFit="1" customWidth="1" collapsed="1"/>
    <col min="20" max="20" width="8.140625" style="8" bestFit="1" customWidth="1"/>
    <col min="21" max="21" width="21.28515625" style="8" hidden="1" customWidth="1" outlineLevel="1"/>
    <col min="22" max="22" width="20.5703125" style="8" bestFit="1" customWidth="1" collapsed="1"/>
    <col min="23" max="23" width="8.140625" style="8" bestFit="1" customWidth="1"/>
    <col min="24" max="24" width="20.5703125" style="8" hidden="1" customWidth="1" outlineLevel="1"/>
    <col min="25" max="25" width="13.85546875" style="8" customWidth="1" collapsed="1"/>
    <col min="26" max="26" width="8.140625" style="8" customWidth="1"/>
    <col min="27" max="27" width="18.28515625" style="8" hidden="1" customWidth="1" outlineLevel="1"/>
    <col min="28" max="28" width="17.28515625" style="8" customWidth="1" collapsed="1"/>
    <col min="29" max="29" width="8.140625" style="8" customWidth="1"/>
    <col min="30" max="30" width="18.85546875" style="8" hidden="1" customWidth="1" outlineLevel="1"/>
    <col min="31" max="31" width="12" style="8" bestFit="1" customWidth="1" collapsed="1"/>
    <col min="32" max="32" width="16.85546875" style="8" bestFit="1" customWidth="1"/>
    <col min="33" max="33" width="8.140625" style="8" bestFit="1" customWidth="1"/>
    <col min="34" max="34" width="19.28515625" style="8" hidden="1" customWidth="1" outlineLevel="1"/>
    <col min="35" max="35" width="9.140625" style="8" collapsed="1"/>
    <col min="36" max="16384" width="9.140625" style="8"/>
  </cols>
  <sheetData>
    <row r="1" spans="1:34" s="6" customFormat="1" ht="21" x14ac:dyDescent="0.35">
      <c r="A1" s="36"/>
      <c r="B1" s="3"/>
      <c r="E1" s="38"/>
      <c r="F1" s="38" t="s">
        <v>161</v>
      </c>
    </row>
    <row r="2" spans="1:34" s="6" customFormat="1" ht="18.75" x14ac:dyDescent="0.3">
      <c r="A2" s="37"/>
      <c r="B2" s="7"/>
      <c r="E2" s="39"/>
      <c r="F2" s="39" t="s">
        <v>19</v>
      </c>
    </row>
    <row r="3" spans="1:34" ht="6.95" customHeight="1" x14ac:dyDescent="0.25"/>
    <row r="4" spans="1:34" x14ac:dyDescent="0.25">
      <c r="P4" s="53">
        <v>43165</v>
      </c>
    </row>
    <row r="5" spans="1:34" ht="6.95" customHeight="1" x14ac:dyDescent="0.25"/>
    <row r="6" spans="1:34" x14ac:dyDescent="0.25">
      <c r="D6" s="11"/>
      <c r="E6" s="11" t="s">
        <v>17</v>
      </c>
      <c r="F6" s="19">
        <v>1</v>
      </c>
      <c r="G6" s="12"/>
      <c r="H6" s="12"/>
      <c r="I6" s="19">
        <v>2</v>
      </c>
      <c r="J6" s="12"/>
      <c r="K6" s="12"/>
      <c r="L6" s="12"/>
      <c r="M6" s="19">
        <v>3</v>
      </c>
      <c r="N6" s="12"/>
      <c r="O6" s="12"/>
      <c r="P6" s="19">
        <v>4</v>
      </c>
      <c r="Q6" s="12"/>
      <c r="R6" s="12"/>
      <c r="S6" s="19">
        <v>5</v>
      </c>
      <c r="T6" s="12"/>
      <c r="U6" s="12"/>
      <c r="V6" s="19">
        <v>6</v>
      </c>
      <c r="W6" s="12"/>
      <c r="X6" s="12"/>
      <c r="Y6" s="19">
        <v>7</v>
      </c>
      <c r="Z6" s="12"/>
      <c r="AA6" s="12"/>
      <c r="AB6" s="19">
        <v>8</v>
      </c>
      <c r="AC6" s="12"/>
      <c r="AD6" s="12"/>
      <c r="AE6" s="12"/>
      <c r="AF6" s="19">
        <v>9</v>
      </c>
      <c r="AG6" s="12"/>
      <c r="AH6" s="12"/>
    </row>
    <row r="7" spans="1:34" hidden="1" outlineLevel="1" x14ac:dyDescent="0.25">
      <c r="B7" s="25" t="str">
        <f>IFERROR(IF(SUMIFS(F7:AH7,F6:AH6,"&gt;=0")=0,"",SUMIFS(F7:AH7,F6:AH6,"&gt;=0")/SUMIFS(F7:AH7,F8:AH8,"ANSWER")),"")</f>
        <v/>
      </c>
      <c r="C7" s="22" t="s">
        <v>8</v>
      </c>
      <c r="D7" s="11"/>
      <c r="E7" s="11"/>
      <c r="F7" s="23">
        <f>IFERROR(COUNTA(Tbl_B2_LogicalFunctions_01[Vendor is "Jig Is Up" (Y/N)]),"")</f>
        <v>0</v>
      </c>
      <c r="G7" s="24">
        <f>IFERROR(COUNTIF(Tbl_B2_LogicalFunctions_01[Answer Status Q01],Rng_Lkp_AnswerStatus_Good),"")</f>
        <v>0</v>
      </c>
      <c r="H7" s="24">
        <f>IFERROR(COUNTA(Tbl_B2_LogicalFunctions_01[Vendor is "Jig Is Up" (Y/N) ANS]),"")</f>
        <v>24</v>
      </c>
      <c r="I7" s="23">
        <f>IFERROR(COUNTA(Tbl_B2_LogicalFunctions_01[Start Year is 2018 (Y/N)]),"")</f>
        <v>0</v>
      </c>
      <c r="J7" s="24">
        <f>IFERROR(COUNTIF(Tbl_B2_LogicalFunctions_01[Answer Status Q02],Rng_Lkp_AnswerStatus_Good),"")</f>
        <v>0</v>
      </c>
      <c r="K7" s="24">
        <f>IFERROR(COUNTA(Tbl_B2_LogicalFunctions_01[Start Year is 2018 (Y/N) ANS]),"")</f>
        <v>24</v>
      </c>
      <c r="L7" s="24"/>
      <c r="M7" s="23">
        <f>IFERROR(COUNTA(Tbl_B2_LogicalFunctions_01[Has End Date (Y/N)]),"")</f>
        <v>0</v>
      </c>
      <c r="N7" s="24">
        <f>IFERROR(COUNTIF(Tbl_B2_LogicalFunctions_01[Answer Status Q03],Rng_Lkp_AnswerStatus_Good),"")</f>
        <v>0</v>
      </c>
      <c r="O7" s="24">
        <f>IFERROR(COUNTA(Tbl_B2_LogicalFunctions_01[Has End Date (Y/N) ANS]),"")</f>
        <v>24</v>
      </c>
      <c r="P7" s="23">
        <f>IFERROR(COUNTA(Tbl_B2_LogicalFunctions_01[Start Date is After 3/6/18 (Y/N)]),"")</f>
        <v>0</v>
      </c>
      <c r="Q7" s="24">
        <f>IFERROR(COUNTIF(Tbl_B2_LogicalFunctions_01[Answer Status Q04],Rng_Lkp_AnswerStatus_Good),"")</f>
        <v>0</v>
      </c>
      <c r="R7" s="24">
        <f>IFERROR(COUNTA(Tbl_B2_LogicalFunctions_01[Start Date is After 3/6/18 (Y/N) ANS]),"")</f>
        <v>24</v>
      </c>
      <c r="S7" s="23">
        <f>IFERROR(COUNTA(Tbl_B2_LogicalFunctions_01[Vendor is "Jig Is Up" AND Start Year is 2018 (TRUE/FALSE)]),"")</f>
        <v>0</v>
      </c>
      <c r="T7" s="24">
        <f>IFERROR(COUNTIF(Tbl_B2_LogicalFunctions_01[Answer Status Q05],Rng_Lkp_AnswerStatus_Good),"")</f>
        <v>0</v>
      </c>
      <c r="U7" s="24">
        <f>IFERROR(COUNTA(Tbl_B2_LogicalFunctions_01[Vendor is "Jig Is Up" AND Start Year is 2018 (TRUE/FALSE) ANS]),"")</f>
        <v>24</v>
      </c>
      <c r="V7" s="23">
        <f>IFERROR(COUNTA(Tbl_B2_LogicalFunctions_01[Vendor is "Jig Is Up" OR Start Year is 2018 (TRUE/FALSE)]),"")</f>
        <v>0</v>
      </c>
      <c r="W7" s="24">
        <f>IFERROR(COUNTIF(Tbl_B2_LogicalFunctions_01[Answer Status Q06],Rng_Lkp_AnswerStatus_Good),"")</f>
        <v>0</v>
      </c>
      <c r="X7" s="24">
        <f>IFERROR(COUNTA(Tbl_B2_LogicalFunctions_01[Vendor is "Jig Is Up" OR Start Year is 2018 (TRUE/FALSE) ANS]),"")</f>
        <v>24</v>
      </c>
      <c r="Y7" s="23">
        <f>IFERROR(COUNTA(Tbl_B2_LogicalFunctions_01[Vendor is NOT "Jig Is Up" (TRUE/FALSE)]),"")</f>
        <v>0</v>
      </c>
      <c r="Z7" s="24">
        <f>IFERROR(COUNTIF(Tbl_B2_LogicalFunctions_01[Answer Status Q07],Rng_Lkp_AnswerStatus_Good),"")</f>
        <v>0</v>
      </c>
      <c r="AA7" s="24">
        <f>IFERROR(COUNTA(Tbl_B2_LogicalFunctions_01[Vendor is NOT "Jig Is Up" (TRUE/FALSE) ANS]),"")</f>
        <v>24</v>
      </c>
      <c r="AB7" s="23">
        <f>IFERROR(COUNTA(Tbl_B2_LogicalFunctions_01[Vendor is Not Equal to "Jig Is Up" (TRUE/FALSE)]),"")</f>
        <v>0</v>
      </c>
      <c r="AC7" s="24">
        <f>IFERROR(COUNTIF(Tbl_B2_LogicalFunctions_01[Answer Status Q08],Rng_Lkp_AnswerStatus_Good),"")</f>
        <v>0</v>
      </c>
      <c r="AD7" s="24">
        <f>IFERROR(COUNTA(Tbl_B2_LogicalFunctions_01[Vendor is Not Equal to "Jig Is Up" (TRUE/FALSE) ANS]),"")</f>
        <v>24</v>
      </c>
      <c r="AE7" s="24"/>
      <c r="AF7" s="23">
        <f>IFERROR(COUNTA(Tbl_B2_LogicalFunctions_01[Vendor Grade ("Invalid" Instead of '#N/A Errors)]),"")</f>
        <v>0</v>
      </c>
      <c r="AG7" s="24">
        <f>IFERROR(COUNTIF(Tbl_B2_LogicalFunctions_01[Answer Status Q09],Rng_Lkp_AnswerStatus_Good),"")</f>
        <v>0</v>
      </c>
      <c r="AH7" s="24">
        <f>IFERROR(COUNTA(Tbl_B2_LogicalFunctions_01[Vendor Grade ("Invalid" Instead of '#N/A Errors) ANS]),"")</f>
        <v>24</v>
      </c>
    </row>
    <row r="8" spans="1:34" collapsed="1" x14ac:dyDescent="0.25">
      <c r="B8" s="25" t="str">
        <f>IFERROR(IF(SUMIFS(F7:AH7,F6:AH6,"&gt;=0")=0,"",SUMIFS(F7:AH7,F8:AH8,"&gt;=0", F8:AH8,"&lt;=1")/SUMIFS(F7:AH7,F6:AH6,"&gt;0")),"")</f>
        <v/>
      </c>
      <c r="C8" s="22" t="s">
        <v>9</v>
      </c>
      <c r="F8" s="19" t="s">
        <v>12</v>
      </c>
      <c r="G8" s="17" t="str">
        <f>IFERROR(G7/F7,"")</f>
        <v/>
      </c>
      <c r="H8" s="20" t="s">
        <v>0</v>
      </c>
      <c r="I8" s="19" t="s">
        <v>12</v>
      </c>
      <c r="J8" s="17" t="str">
        <f>IFERROR(J7/I7,"")</f>
        <v/>
      </c>
      <c r="K8" s="20" t="s">
        <v>0</v>
      </c>
      <c r="L8" s="24"/>
      <c r="M8" s="19" t="s">
        <v>12</v>
      </c>
      <c r="N8" s="17" t="str">
        <f>IFERROR(N7/M7,"")</f>
        <v/>
      </c>
      <c r="O8" s="20" t="s">
        <v>0</v>
      </c>
      <c r="P8" s="19" t="str" cm="1">
        <f t="array" aca="1" ref="P8" ca="1">"IF and cell ref to " &amp; CELL("address",P4)</f>
        <v>IF and cell ref to $P$4</v>
      </c>
      <c r="Q8" s="17" t="str">
        <f>IFERROR(Q7/P7,"")</f>
        <v/>
      </c>
      <c r="R8" s="20" t="s">
        <v>0</v>
      </c>
      <c r="S8" s="19" t="s">
        <v>20</v>
      </c>
      <c r="T8" s="17" t="str">
        <f>IFERROR(T7/S7,"")</f>
        <v/>
      </c>
      <c r="U8" s="20" t="s">
        <v>0</v>
      </c>
      <c r="V8" s="19" t="s">
        <v>21</v>
      </c>
      <c r="W8" s="17" t="str">
        <f>IFERROR(W7/V7,"")</f>
        <v/>
      </c>
      <c r="X8" s="20" t="s">
        <v>0</v>
      </c>
      <c r="Y8" s="19" t="s">
        <v>216</v>
      </c>
      <c r="Z8" s="17" t="str">
        <f>IFERROR(Z7/Y7,"")</f>
        <v/>
      </c>
      <c r="AA8" s="20" t="s">
        <v>0</v>
      </c>
      <c r="AB8" s="19" t="s">
        <v>136</v>
      </c>
      <c r="AC8" s="17" t="str">
        <f>IFERROR(AC7/AB7,"")</f>
        <v/>
      </c>
      <c r="AD8" s="20" t="s">
        <v>0</v>
      </c>
      <c r="AE8" s="12"/>
      <c r="AF8" s="57" t="s">
        <v>22</v>
      </c>
      <c r="AG8" s="17" t="str">
        <f>IFERROR(AG7/AF7,"")</f>
        <v/>
      </c>
      <c r="AH8" s="29" t="s">
        <v>0</v>
      </c>
    </row>
    <row r="9" spans="1:34" ht="45" x14ac:dyDescent="0.25">
      <c r="B9" s="14" t="s">
        <v>15</v>
      </c>
      <c r="C9" s="14" t="s">
        <v>23</v>
      </c>
      <c r="D9" s="28" t="s">
        <v>52</v>
      </c>
      <c r="E9" s="28" t="s">
        <v>53</v>
      </c>
      <c r="F9" s="18" t="s">
        <v>221</v>
      </c>
      <c r="G9" s="15" t="s">
        <v>4</v>
      </c>
      <c r="H9" s="21" t="s">
        <v>222</v>
      </c>
      <c r="I9" s="18" t="s">
        <v>64</v>
      </c>
      <c r="J9" s="15" t="s">
        <v>5</v>
      </c>
      <c r="K9" s="21" t="s">
        <v>65</v>
      </c>
      <c r="L9" s="28" t="s">
        <v>63</v>
      </c>
      <c r="M9" s="18" t="s">
        <v>66</v>
      </c>
      <c r="N9" s="15" t="s">
        <v>6</v>
      </c>
      <c r="O9" s="21" t="s">
        <v>67</v>
      </c>
      <c r="P9" s="18" t="s">
        <v>68</v>
      </c>
      <c r="Q9" s="15" t="s">
        <v>7</v>
      </c>
      <c r="R9" s="21" t="s">
        <v>69</v>
      </c>
      <c r="S9" s="34" t="s">
        <v>70</v>
      </c>
      <c r="T9" s="27" t="s">
        <v>10</v>
      </c>
      <c r="U9" s="35" t="s">
        <v>72</v>
      </c>
      <c r="V9" s="34" t="s">
        <v>71</v>
      </c>
      <c r="W9" s="27" t="s">
        <v>11</v>
      </c>
      <c r="X9" s="35" t="s">
        <v>73</v>
      </c>
      <c r="Y9" s="34" t="s">
        <v>217</v>
      </c>
      <c r="Z9" s="27" t="s">
        <v>18</v>
      </c>
      <c r="AA9" s="35" t="s">
        <v>218</v>
      </c>
      <c r="AB9" s="34" t="s">
        <v>219</v>
      </c>
      <c r="AC9" s="27" t="s">
        <v>30</v>
      </c>
      <c r="AD9" s="35" t="s">
        <v>220</v>
      </c>
      <c r="AE9" s="62" t="s">
        <v>79</v>
      </c>
      <c r="AF9" s="54" t="s">
        <v>80</v>
      </c>
      <c r="AG9" s="27" t="s">
        <v>94</v>
      </c>
      <c r="AH9" s="58" t="s">
        <v>81</v>
      </c>
    </row>
    <row r="10" spans="1:34" x14ac:dyDescent="0.25">
      <c r="B10" s="9">
        <v>1</v>
      </c>
      <c r="C10" s="10" t="s">
        <v>29</v>
      </c>
      <c r="D10" s="10">
        <v>42941</v>
      </c>
      <c r="E10" s="9">
        <f>YEAR(Tbl_B2_LogicalFunctions_01[[#This Row],[Start Date]])</f>
        <v>2017</v>
      </c>
      <c r="F10" s="40"/>
      <c r="G10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0" s="42" t="str">
        <f>IF(Tbl_B2_LogicalFunctions_01[[#This Row],[Vendor Name]]="Jig is Up","Y","N")</f>
        <v>N</v>
      </c>
      <c r="I10" s="40"/>
      <c r="J10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0" s="42" t="str">
        <f>IF(Tbl_B2_LogicalFunctions_01[[#This Row],[Start Year]]=2018,"Y","N")</f>
        <v>N</v>
      </c>
      <c r="L10" s="10"/>
      <c r="M10" s="48"/>
      <c r="N10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0" s="26" t="str">
        <f>IF(Tbl_B2_LogicalFunctions_01[[#This Row],[End Date]]="","N","Y")</f>
        <v>N</v>
      </c>
      <c r="P10" s="48"/>
      <c r="Q10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0" s="51" t="str">
        <f>IF(Tbl_B2_LogicalFunctions_01[[#This Row],[Start Date]]&gt;$P$4,"Y","N")</f>
        <v>N</v>
      </c>
      <c r="S10" s="48"/>
      <c r="T10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0" s="51" t="b">
        <f>AND(Tbl_B2_LogicalFunctions_01[[#This Row],[Vendor Name]]="Jig is Up",Tbl_B2_LogicalFunctions_01[[#This Row],[Start Year]]=2018)</f>
        <v>0</v>
      </c>
      <c r="V10" s="41"/>
      <c r="W10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0" s="42" t="b">
        <f>OR(Tbl_B2_LogicalFunctions_01[[#This Row],[Vendor Name]]="Jig is Up",Tbl_B2_LogicalFunctions_01[[#This Row],[Start Year]]=2018)</f>
        <v>0</v>
      </c>
      <c r="Y10" s="41"/>
      <c r="Z10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0" s="42" t="b">
        <f>NOT(Tbl_B2_LogicalFunctions_01[[#This Row],[Vendor Name]]="Jig Is Up")</f>
        <v>1</v>
      </c>
      <c r="AB10" s="41"/>
      <c r="AC10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0" s="42" t="b">
        <f>Tbl_B2_LogicalFunctions_01[[#This Row],[Vendor Name]]&lt;&gt;"Jig Is Up"</f>
        <v>1</v>
      </c>
      <c r="AE10" s="61" t="e">
        <v>#N/A</v>
      </c>
      <c r="AF10" s="55"/>
      <c r="AG10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0" s="59" t="str">
        <f>IFERROR(Tbl_B2_LogicalFunctions_01[[#This Row],[Vendor Grade (With '#N/A Errors)]],"Invalid")</f>
        <v>Invalid</v>
      </c>
    </row>
    <row r="11" spans="1:34" x14ac:dyDescent="0.25">
      <c r="B11" s="9">
        <v>2</v>
      </c>
      <c r="C11" s="10" t="s">
        <v>24</v>
      </c>
      <c r="D11" s="10">
        <v>43321</v>
      </c>
      <c r="E11" s="9">
        <f>YEAR(Tbl_B2_LogicalFunctions_01[[#This Row],[Start Date]])</f>
        <v>2018</v>
      </c>
      <c r="F11" s="41"/>
      <c r="G11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1" s="42" t="str">
        <f>IF(Tbl_B2_LogicalFunctions_01[[#This Row],[Vendor Name]]="Jig is Up","Y","N")</f>
        <v>Y</v>
      </c>
      <c r="I11" s="41"/>
      <c r="J11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1" s="42" t="str">
        <f>IF(Tbl_B2_LogicalFunctions_01[[#This Row],[Start Year]]=2018,"Y","N")</f>
        <v>Y</v>
      </c>
      <c r="L11" s="10">
        <v>43644</v>
      </c>
      <c r="M11" s="48"/>
      <c r="N11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1" s="26" t="str">
        <f>IF(Tbl_B2_LogicalFunctions_01[[#This Row],[End Date]]="","N","Y")</f>
        <v>Y</v>
      </c>
      <c r="P11" s="48"/>
      <c r="Q11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1" s="51" t="str">
        <f>IF(Tbl_B2_LogicalFunctions_01[[#This Row],[Start Date]]&gt;$P$4,"Y","N")</f>
        <v>Y</v>
      </c>
      <c r="S11" s="48"/>
      <c r="T11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1" s="51" t="b">
        <f>AND(Tbl_B2_LogicalFunctions_01[[#This Row],[Vendor Name]]="Jig is Up",Tbl_B2_LogicalFunctions_01[[#This Row],[Start Year]]=2018)</f>
        <v>1</v>
      </c>
      <c r="V11" s="41"/>
      <c r="W11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1" s="42" t="b">
        <f>OR(Tbl_B2_LogicalFunctions_01[[#This Row],[Vendor Name]]="Jig is Up",Tbl_B2_LogicalFunctions_01[[#This Row],[Start Year]]=2018)</f>
        <v>1</v>
      </c>
      <c r="Y11" s="41"/>
      <c r="Z11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1" s="42" t="b">
        <f>NOT(Tbl_B2_LogicalFunctions_01[[#This Row],[Vendor Name]]="Jig Is Up")</f>
        <v>0</v>
      </c>
      <c r="AB11" s="41"/>
      <c r="AC11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1" s="42" t="b">
        <f>Tbl_B2_LogicalFunctions_01[[#This Row],[Vendor Name]]&lt;&gt;"Jig Is Up"</f>
        <v>0</v>
      </c>
      <c r="AE11" s="61" t="s">
        <v>74</v>
      </c>
      <c r="AF11" s="55"/>
      <c r="AG11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1" s="59" t="str">
        <f>IFERROR(Tbl_B2_LogicalFunctions_01[[#This Row],[Vendor Grade (With '#N/A Errors)]],"Invalid")</f>
        <v>B</v>
      </c>
    </row>
    <row r="12" spans="1:34" x14ac:dyDescent="0.25">
      <c r="B12" s="9">
        <v>3</v>
      </c>
      <c r="C12" s="10" t="s">
        <v>25</v>
      </c>
      <c r="D12" s="10">
        <v>43074</v>
      </c>
      <c r="E12" s="9">
        <f>YEAR(Tbl_B2_LogicalFunctions_01[[#This Row],[Start Date]])</f>
        <v>2017</v>
      </c>
      <c r="F12" s="41"/>
      <c r="G12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2" s="42" t="str">
        <f>IF(Tbl_B2_LogicalFunctions_01[[#This Row],[Vendor Name]]="Jig is Up","Y","N")</f>
        <v>N</v>
      </c>
      <c r="I12" s="41"/>
      <c r="J12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2" s="42" t="str">
        <f>IF(Tbl_B2_LogicalFunctions_01[[#This Row],[Start Year]]=2018,"Y","N")</f>
        <v>N</v>
      </c>
      <c r="L12" s="10">
        <v>43628</v>
      </c>
      <c r="M12" s="48"/>
      <c r="N12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2" s="26" t="str">
        <f>IF(Tbl_B2_LogicalFunctions_01[[#This Row],[End Date]]="","N","Y")</f>
        <v>Y</v>
      </c>
      <c r="P12" s="48"/>
      <c r="Q12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2" s="51" t="str">
        <f>IF(Tbl_B2_LogicalFunctions_01[[#This Row],[Start Date]]&gt;$P$4,"Y","N")</f>
        <v>N</v>
      </c>
      <c r="S12" s="48"/>
      <c r="T12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2" s="51" t="b">
        <f>AND(Tbl_B2_LogicalFunctions_01[[#This Row],[Vendor Name]]="Jig is Up",Tbl_B2_LogicalFunctions_01[[#This Row],[Start Year]]=2018)</f>
        <v>0</v>
      </c>
      <c r="V12" s="41"/>
      <c r="W12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2" s="42" t="b">
        <f>OR(Tbl_B2_LogicalFunctions_01[[#This Row],[Vendor Name]]="Jig is Up",Tbl_B2_LogicalFunctions_01[[#This Row],[Start Year]]=2018)</f>
        <v>0</v>
      </c>
      <c r="Y12" s="41"/>
      <c r="Z12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2" s="42" t="b">
        <f>NOT(Tbl_B2_LogicalFunctions_01[[#This Row],[Vendor Name]]="Jig Is Up")</f>
        <v>1</v>
      </c>
      <c r="AB12" s="41"/>
      <c r="AC12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2" s="42" t="b">
        <f>Tbl_B2_LogicalFunctions_01[[#This Row],[Vendor Name]]&lt;&gt;"Jig Is Up"</f>
        <v>1</v>
      </c>
      <c r="AE12" s="61" t="e">
        <v>#N/A</v>
      </c>
      <c r="AF12" s="55"/>
      <c r="AG12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2" s="59" t="str">
        <f>IFERROR(Tbl_B2_LogicalFunctions_01[[#This Row],[Vendor Grade (With '#N/A Errors)]],"Invalid")</f>
        <v>Invalid</v>
      </c>
    </row>
    <row r="13" spans="1:34" x14ac:dyDescent="0.25">
      <c r="B13" s="9">
        <v>4</v>
      </c>
      <c r="C13" s="10" t="s">
        <v>24</v>
      </c>
      <c r="D13" s="10">
        <v>42932</v>
      </c>
      <c r="E13" s="9">
        <f>YEAR(Tbl_B2_LogicalFunctions_01[[#This Row],[Start Date]])</f>
        <v>2017</v>
      </c>
      <c r="F13" s="41"/>
      <c r="G13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3" s="42" t="str">
        <f>IF(Tbl_B2_LogicalFunctions_01[[#This Row],[Vendor Name]]="Jig is Up","Y","N")</f>
        <v>Y</v>
      </c>
      <c r="I13" s="41"/>
      <c r="J13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3" s="42" t="str">
        <f>IF(Tbl_B2_LogicalFunctions_01[[#This Row],[Start Year]]=2018,"Y","N")</f>
        <v>N</v>
      </c>
      <c r="L13" s="10"/>
      <c r="M13" s="48"/>
      <c r="N13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3" s="26" t="str">
        <f>IF(Tbl_B2_LogicalFunctions_01[[#This Row],[End Date]]="","N","Y")</f>
        <v>N</v>
      </c>
      <c r="P13" s="48"/>
      <c r="Q13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3" s="51" t="str">
        <f>IF(Tbl_B2_LogicalFunctions_01[[#This Row],[Start Date]]&gt;$P$4,"Y","N")</f>
        <v>N</v>
      </c>
      <c r="S13" s="48"/>
      <c r="T13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3" s="51" t="b">
        <f>AND(Tbl_B2_LogicalFunctions_01[[#This Row],[Vendor Name]]="Jig is Up",Tbl_B2_LogicalFunctions_01[[#This Row],[Start Year]]=2018)</f>
        <v>0</v>
      </c>
      <c r="V13" s="41"/>
      <c r="W13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3" s="42" t="b">
        <f>OR(Tbl_B2_LogicalFunctions_01[[#This Row],[Vendor Name]]="Jig is Up",Tbl_B2_LogicalFunctions_01[[#This Row],[Start Year]]=2018)</f>
        <v>1</v>
      </c>
      <c r="Y13" s="41"/>
      <c r="Z13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3" s="42" t="b">
        <f>NOT(Tbl_B2_LogicalFunctions_01[[#This Row],[Vendor Name]]="Jig Is Up")</f>
        <v>0</v>
      </c>
      <c r="AB13" s="41"/>
      <c r="AC13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3" s="42" t="b">
        <f>Tbl_B2_LogicalFunctions_01[[#This Row],[Vendor Name]]&lt;&gt;"Jig Is Up"</f>
        <v>0</v>
      </c>
      <c r="AE13" s="61" t="s">
        <v>74</v>
      </c>
      <c r="AF13" s="55"/>
      <c r="AG13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3" s="59" t="str">
        <f>IFERROR(Tbl_B2_LogicalFunctions_01[[#This Row],[Vendor Grade (With '#N/A Errors)]],"Invalid")</f>
        <v>B</v>
      </c>
    </row>
    <row r="14" spans="1:34" x14ac:dyDescent="0.25">
      <c r="B14" s="9">
        <v>5</v>
      </c>
      <c r="C14" s="10" t="s">
        <v>60</v>
      </c>
      <c r="D14" s="10">
        <v>43390</v>
      </c>
      <c r="E14" s="9">
        <f>YEAR(Tbl_B2_LogicalFunctions_01[[#This Row],[Start Date]])</f>
        <v>2018</v>
      </c>
      <c r="F14" s="41"/>
      <c r="G14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4" s="42" t="str">
        <f>IF(Tbl_B2_LogicalFunctions_01[[#This Row],[Vendor Name]]="Jig is Up","Y","N")</f>
        <v>N</v>
      </c>
      <c r="I14" s="41"/>
      <c r="J14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4" s="42" t="str">
        <f>IF(Tbl_B2_LogicalFunctions_01[[#This Row],[Start Year]]=2018,"Y","N")</f>
        <v>Y</v>
      </c>
      <c r="L14" s="10">
        <v>43685</v>
      </c>
      <c r="M14" s="48"/>
      <c r="N14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4" s="26" t="str">
        <f>IF(Tbl_B2_LogicalFunctions_01[[#This Row],[End Date]]="","N","Y")</f>
        <v>Y</v>
      </c>
      <c r="P14" s="48"/>
      <c r="Q14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4" s="51" t="str">
        <f>IF(Tbl_B2_LogicalFunctions_01[[#This Row],[Start Date]]&gt;$P$4,"Y","N")</f>
        <v>Y</v>
      </c>
      <c r="S14" s="48"/>
      <c r="T14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4" s="51" t="b">
        <f>AND(Tbl_B2_LogicalFunctions_01[[#This Row],[Vendor Name]]="Jig is Up",Tbl_B2_LogicalFunctions_01[[#This Row],[Start Year]]=2018)</f>
        <v>0</v>
      </c>
      <c r="V14" s="41"/>
      <c r="W14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4" s="42" t="b">
        <f>OR(Tbl_B2_LogicalFunctions_01[[#This Row],[Vendor Name]]="Jig is Up",Tbl_B2_LogicalFunctions_01[[#This Row],[Start Year]]=2018)</f>
        <v>1</v>
      </c>
      <c r="Y14" s="41"/>
      <c r="Z14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4" s="42" t="b">
        <f>NOT(Tbl_B2_LogicalFunctions_01[[#This Row],[Vendor Name]]="Jig Is Up")</f>
        <v>1</v>
      </c>
      <c r="AB14" s="41"/>
      <c r="AC14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4" s="42" t="b">
        <f>Tbl_B2_LogicalFunctions_01[[#This Row],[Vendor Name]]&lt;&gt;"Jig Is Up"</f>
        <v>1</v>
      </c>
      <c r="AE14" s="61" t="s">
        <v>77</v>
      </c>
      <c r="AF14" s="55"/>
      <c r="AG14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4" s="59" t="str">
        <f>IFERROR(Tbl_B2_LogicalFunctions_01[[#This Row],[Vendor Grade (With '#N/A Errors)]],"Invalid")</f>
        <v>A</v>
      </c>
    </row>
    <row r="15" spans="1:34" x14ac:dyDescent="0.25">
      <c r="B15" s="9">
        <v>6</v>
      </c>
      <c r="C15" s="10" t="s">
        <v>61</v>
      </c>
      <c r="D15" s="10">
        <v>43368</v>
      </c>
      <c r="E15" s="9">
        <f>YEAR(Tbl_B2_LogicalFunctions_01[[#This Row],[Start Date]])</f>
        <v>2018</v>
      </c>
      <c r="F15" s="41"/>
      <c r="G15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5" s="42" t="str">
        <f>IF(Tbl_B2_LogicalFunctions_01[[#This Row],[Vendor Name]]="Jig is Up","Y","N")</f>
        <v>N</v>
      </c>
      <c r="I15" s="41"/>
      <c r="J15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5" s="42" t="str">
        <f>IF(Tbl_B2_LogicalFunctions_01[[#This Row],[Start Year]]=2018,"Y","N")</f>
        <v>Y</v>
      </c>
      <c r="L15" s="10"/>
      <c r="M15" s="48"/>
      <c r="N15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5" s="26" t="str">
        <f>IF(Tbl_B2_LogicalFunctions_01[[#This Row],[End Date]]="","N","Y")</f>
        <v>N</v>
      </c>
      <c r="P15" s="48"/>
      <c r="Q15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5" s="51" t="str">
        <f>IF(Tbl_B2_LogicalFunctions_01[[#This Row],[Start Date]]&gt;$P$4,"Y","N")</f>
        <v>Y</v>
      </c>
      <c r="S15" s="48"/>
      <c r="T15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5" s="51" t="b">
        <f>AND(Tbl_B2_LogicalFunctions_01[[#This Row],[Vendor Name]]="Jig is Up",Tbl_B2_LogicalFunctions_01[[#This Row],[Start Year]]=2018)</f>
        <v>0</v>
      </c>
      <c r="V15" s="41"/>
      <c r="W15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5" s="42" t="b">
        <f>OR(Tbl_B2_LogicalFunctions_01[[#This Row],[Vendor Name]]="Jig is Up",Tbl_B2_LogicalFunctions_01[[#This Row],[Start Year]]=2018)</f>
        <v>1</v>
      </c>
      <c r="Y15" s="41"/>
      <c r="Z15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5" s="42" t="b">
        <f>NOT(Tbl_B2_LogicalFunctions_01[[#This Row],[Vendor Name]]="Jig Is Up")</f>
        <v>1</v>
      </c>
      <c r="AB15" s="41"/>
      <c r="AC15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5" s="42" t="b">
        <f>Tbl_B2_LogicalFunctions_01[[#This Row],[Vendor Name]]&lt;&gt;"Jig Is Up"</f>
        <v>1</v>
      </c>
      <c r="AE15" s="61" t="s">
        <v>74</v>
      </c>
      <c r="AF15" s="55"/>
      <c r="AG15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5" s="59" t="str">
        <f>IFERROR(Tbl_B2_LogicalFunctions_01[[#This Row],[Vendor Grade (With '#N/A Errors)]],"Invalid")</f>
        <v>B</v>
      </c>
    </row>
    <row r="16" spans="1:34" x14ac:dyDescent="0.25">
      <c r="B16" s="9">
        <v>7</v>
      </c>
      <c r="C16" s="10" t="s">
        <v>26</v>
      </c>
      <c r="D16" s="10">
        <v>42986</v>
      </c>
      <c r="E16" s="9">
        <f>YEAR(Tbl_B2_LogicalFunctions_01[[#This Row],[Start Date]])</f>
        <v>2017</v>
      </c>
      <c r="F16" s="41"/>
      <c r="G16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6" s="42" t="str">
        <f>IF(Tbl_B2_LogicalFunctions_01[[#This Row],[Vendor Name]]="Jig is Up","Y","N")</f>
        <v>N</v>
      </c>
      <c r="I16" s="41"/>
      <c r="J16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6" s="42" t="str">
        <f>IF(Tbl_B2_LogicalFunctions_01[[#This Row],[Start Year]]=2018,"Y","N")</f>
        <v>N</v>
      </c>
      <c r="L16" s="10"/>
      <c r="M16" s="48"/>
      <c r="N16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6" s="26" t="str">
        <f>IF(Tbl_B2_LogicalFunctions_01[[#This Row],[End Date]]="","N","Y")</f>
        <v>N</v>
      </c>
      <c r="P16" s="48"/>
      <c r="Q16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6" s="51" t="str">
        <f>IF(Tbl_B2_LogicalFunctions_01[[#This Row],[Start Date]]&gt;$P$4,"Y","N")</f>
        <v>N</v>
      </c>
      <c r="S16" s="48"/>
      <c r="T16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6" s="51" t="b">
        <f>AND(Tbl_B2_LogicalFunctions_01[[#This Row],[Vendor Name]]="Jig is Up",Tbl_B2_LogicalFunctions_01[[#This Row],[Start Year]]=2018)</f>
        <v>0</v>
      </c>
      <c r="V16" s="41"/>
      <c r="W16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6" s="42" t="b">
        <f>OR(Tbl_B2_LogicalFunctions_01[[#This Row],[Vendor Name]]="Jig is Up",Tbl_B2_LogicalFunctions_01[[#This Row],[Start Year]]=2018)</f>
        <v>0</v>
      </c>
      <c r="Y16" s="41"/>
      <c r="Z16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6" s="42" t="b">
        <f>NOT(Tbl_B2_LogicalFunctions_01[[#This Row],[Vendor Name]]="Jig Is Up")</f>
        <v>1</v>
      </c>
      <c r="AB16" s="41"/>
      <c r="AC16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6" s="42" t="b">
        <f>Tbl_B2_LogicalFunctions_01[[#This Row],[Vendor Name]]&lt;&gt;"Jig Is Up"</f>
        <v>1</v>
      </c>
      <c r="AE16" s="61" t="e">
        <v>#N/A</v>
      </c>
      <c r="AF16" s="55"/>
      <c r="AG16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6" s="59" t="str">
        <f>IFERROR(Tbl_B2_LogicalFunctions_01[[#This Row],[Vendor Grade (With '#N/A Errors)]],"Invalid")</f>
        <v>Invalid</v>
      </c>
    </row>
    <row r="17" spans="2:34" x14ac:dyDescent="0.25">
      <c r="B17" s="9">
        <v>8</v>
      </c>
      <c r="C17" s="10" t="s">
        <v>26</v>
      </c>
      <c r="D17" s="10">
        <v>43150</v>
      </c>
      <c r="E17" s="9">
        <f>YEAR(Tbl_B2_LogicalFunctions_01[[#This Row],[Start Date]])</f>
        <v>2018</v>
      </c>
      <c r="F17" s="41"/>
      <c r="G17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7" s="42" t="str">
        <f>IF(Tbl_B2_LogicalFunctions_01[[#This Row],[Vendor Name]]="Jig is Up","Y","N")</f>
        <v>N</v>
      </c>
      <c r="I17" s="41"/>
      <c r="J17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7" s="42" t="str">
        <f>IF(Tbl_B2_LogicalFunctions_01[[#This Row],[Start Year]]=2018,"Y","N")</f>
        <v>Y</v>
      </c>
      <c r="L17" s="10">
        <v>43451</v>
      </c>
      <c r="M17" s="48"/>
      <c r="N17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7" s="26" t="str">
        <f>IF(Tbl_B2_LogicalFunctions_01[[#This Row],[End Date]]="","N","Y")</f>
        <v>Y</v>
      </c>
      <c r="P17" s="48"/>
      <c r="Q17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7" s="51" t="str">
        <f>IF(Tbl_B2_LogicalFunctions_01[[#This Row],[Start Date]]&gt;$P$4,"Y","N")</f>
        <v>N</v>
      </c>
      <c r="S17" s="48"/>
      <c r="T17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7" s="51" t="b">
        <f>AND(Tbl_B2_LogicalFunctions_01[[#This Row],[Vendor Name]]="Jig is Up",Tbl_B2_LogicalFunctions_01[[#This Row],[Start Year]]=2018)</f>
        <v>0</v>
      </c>
      <c r="V17" s="41"/>
      <c r="W17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7" s="42" t="b">
        <f>OR(Tbl_B2_LogicalFunctions_01[[#This Row],[Vendor Name]]="Jig is Up",Tbl_B2_LogicalFunctions_01[[#This Row],[Start Year]]=2018)</f>
        <v>1</v>
      </c>
      <c r="Y17" s="41"/>
      <c r="Z17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7" s="42" t="b">
        <f>NOT(Tbl_B2_LogicalFunctions_01[[#This Row],[Vendor Name]]="Jig Is Up")</f>
        <v>1</v>
      </c>
      <c r="AB17" s="41"/>
      <c r="AC17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7" s="42" t="b">
        <f>Tbl_B2_LogicalFunctions_01[[#This Row],[Vendor Name]]&lt;&gt;"Jig Is Up"</f>
        <v>1</v>
      </c>
      <c r="AE17" s="61" t="e">
        <v>#N/A</v>
      </c>
      <c r="AF17" s="55"/>
      <c r="AG17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7" s="59" t="str">
        <f>IFERROR(Tbl_B2_LogicalFunctions_01[[#This Row],[Vendor Grade (With '#N/A Errors)]],"Invalid")</f>
        <v>Invalid</v>
      </c>
    </row>
    <row r="18" spans="2:34" x14ac:dyDescent="0.25">
      <c r="B18" s="9">
        <v>9</v>
      </c>
      <c r="C18" s="10" t="s">
        <v>24</v>
      </c>
      <c r="D18" s="10">
        <v>42920</v>
      </c>
      <c r="E18" s="9">
        <f>YEAR(Tbl_B2_LogicalFunctions_01[[#This Row],[Start Date]])</f>
        <v>2017</v>
      </c>
      <c r="F18" s="41"/>
      <c r="G18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8" s="42" t="str">
        <f>IF(Tbl_B2_LogicalFunctions_01[[#This Row],[Vendor Name]]="Jig is Up","Y","N")</f>
        <v>Y</v>
      </c>
      <c r="I18" s="41"/>
      <c r="J18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8" s="42" t="str">
        <f>IF(Tbl_B2_LogicalFunctions_01[[#This Row],[Start Year]]=2018,"Y","N")</f>
        <v>N</v>
      </c>
      <c r="L18" s="10">
        <v>43607</v>
      </c>
      <c r="M18" s="48"/>
      <c r="N18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8" s="26" t="str">
        <f>IF(Tbl_B2_LogicalFunctions_01[[#This Row],[End Date]]="","N","Y")</f>
        <v>Y</v>
      </c>
      <c r="P18" s="48"/>
      <c r="Q18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8" s="51" t="str">
        <f>IF(Tbl_B2_LogicalFunctions_01[[#This Row],[Start Date]]&gt;$P$4,"Y","N")</f>
        <v>N</v>
      </c>
      <c r="S18" s="48"/>
      <c r="T18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8" s="51" t="b">
        <f>AND(Tbl_B2_LogicalFunctions_01[[#This Row],[Vendor Name]]="Jig is Up",Tbl_B2_LogicalFunctions_01[[#This Row],[Start Year]]=2018)</f>
        <v>0</v>
      </c>
      <c r="V18" s="41"/>
      <c r="W18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8" s="42" t="b">
        <f>OR(Tbl_B2_LogicalFunctions_01[[#This Row],[Vendor Name]]="Jig is Up",Tbl_B2_LogicalFunctions_01[[#This Row],[Start Year]]=2018)</f>
        <v>1</v>
      </c>
      <c r="Y18" s="41"/>
      <c r="Z18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8" s="42" t="b">
        <f>NOT(Tbl_B2_LogicalFunctions_01[[#This Row],[Vendor Name]]="Jig Is Up")</f>
        <v>0</v>
      </c>
      <c r="AB18" s="41"/>
      <c r="AC18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8" s="42" t="b">
        <f>Tbl_B2_LogicalFunctions_01[[#This Row],[Vendor Name]]&lt;&gt;"Jig Is Up"</f>
        <v>0</v>
      </c>
      <c r="AE18" s="61" t="s">
        <v>74</v>
      </c>
      <c r="AF18" s="55"/>
      <c r="AG18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8" s="59" t="str">
        <f>IFERROR(Tbl_B2_LogicalFunctions_01[[#This Row],[Vendor Grade (With '#N/A Errors)]],"Invalid")</f>
        <v>B</v>
      </c>
    </row>
    <row r="19" spans="2:34" x14ac:dyDescent="0.25">
      <c r="B19" s="9">
        <v>10</v>
      </c>
      <c r="C19" s="10" t="s">
        <v>27</v>
      </c>
      <c r="D19" s="10">
        <v>43023</v>
      </c>
      <c r="E19" s="9">
        <f>YEAR(Tbl_B2_LogicalFunctions_01[[#This Row],[Start Date]])</f>
        <v>2017</v>
      </c>
      <c r="F19" s="45"/>
      <c r="G19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19" s="46" t="str">
        <f>IF(Tbl_B2_LogicalFunctions_01[[#This Row],[Vendor Name]]="Jig is Up","Y","N")</f>
        <v>N</v>
      </c>
      <c r="I19" s="45"/>
      <c r="J19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19" s="46" t="str">
        <f>IF(Tbl_B2_LogicalFunctions_01[[#This Row],[Start Year]]=2018,"Y","N")</f>
        <v>N</v>
      </c>
      <c r="L19" s="10"/>
      <c r="M19" s="49"/>
      <c r="N19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19" s="50" t="str">
        <f>IF(Tbl_B2_LogicalFunctions_01[[#This Row],[End Date]]="","N","Y")</f>
        <v>N</v>
      </c>
      <c r="P19" s="49"/>
      <c r="Q19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19" s="52" t="str">
        <f>IF(Tbl_B2_LogicalFunctions_01[[#This Row],[Start Date]]&gt;$P$4,"Y","N")</f>
        <v>N</v>
      </c>
      <c r="S19" s="49"/>
      <c r="T19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19" s="52" t="b">
        <f>AND(Tbl_B2_LogicalFunctions_01[[#This Row],[Vendor Name]]="Jig is Up",Tbl_B2_LogicalFunctions_01[[#This Row],[Start Year]]=2018)</f>
        <v>0</v>
      </c>
      <c r="V19" s="45"/>
      <c r="W19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19" s="46" t="b">
        <f>OR(Tbl_B2_LogicalFunctions_01[[#This Row],[Vendor Name]]="Jig is Up",Tbl_B2_LogicalFunctions_01[[#This Row],[Start Year]]=2018)</f>
        <v>0</v>
      </c>
      <c r="Y19" s="45"/>
      <c r="Z19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19" s="46" t="b">
        <f>NOT(Tbl_B2_LogicalFunctions_01[[#This Row],[Vendor Name]]="Jig Is Up")</f>
        <v>1</v>
      </c>
      <c r="AB19" s="45"/>
      <c r="AC19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19" s="46" t="b">
        <f>Tbl_B2_LogicalFunctions_01[[#This Row],[Vendor Name]]&lt;&gt;"Jig Is Up"</f>
        <v>1</v>
      </c>
      <c r="AE19" s="61" t="s">
        <v>75</v>
      </c>
      <c r="AF19" s="56"/>
      <c r="AG19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19" s="60" t="str">
        <f>IFERROR(Tbl_B2_LogicalFunctions_01[[#This Row],[Vendor Grade (With '#N/A Errors)]],"Invalid")</f>
        <v>D</v>
      </c>
    </row>
    <row r="20" spans="2:34" x14ac:dyDescent="0.25">
      <c r="B20" s="9">
        <v>11</v>
      </c>
      <c r="C20" s="10" t="s">
        <v>57</v>
      </c>
      <c r="D20" s="10">
        <v>43092</v>
      </c>
      <c r="E20" s="9">
        <f>YEAR(Tbl_B2_LogicalFunctions_01[[#This Row],[Start Date]])</f>
        <v>2017</v>
      </c>
      <c r="F20" s="45"/>
      <c r="G20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0" s="46" t="str">
        <f>IF(Tbl_B2_LogicalFunctions_01[[#This Row],[Vendor Name]]="Jig is Up","Y","N")</f>
        <v>N</v>
      </c>
      <c r="I20" s="45"/>
      <c r="J20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0" s="46" t="str">
        <f>IF(Tbl_B2_LogicalFunctions_01[[#This Row],[Start Year]]=2018,"Y","N")</f>
        <v>N</v>
      </c>
      <c r="L20" s="10">
        <v>43675</v>
      </c>
      <c r="M20" s="49"/>
      <c r="N20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0" s="50" t="str">
        <f>IF(Tbl_B2_LogicalFunctions_01[[#This Row],[End Date]]="","N","Y")</f>
        <v>Y</v>
      </c>
      <c r="P20" s="49"/>
      <c r="Q20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0" s="52" t="str">
        <f>IF(Tbl_B2_LogicalFunctions_01[[#This Row],[Start Date]]&gt;$P$4,"Y","N")</f>
        <v>N</v>
      </c>
      <c r="S20" s="49"/>
      <c r="T20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0" s="52" t="b">
        <f>AND(Tbl_B2_LogicalFunctions_01[[#This Row],[Vendor Name]]="Jig is Up",Tbl_B2_LogicalFunctions_01[[#This Row],[Start Year]]=2018)</f>
        <v>0</v>
      </c>
      <c r="V20" s="45"/>
      <c r="W20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0" s="46" t="b">
        <f>OR(Tbl_B2_LogicalFunctions_01[[#This Row],[Vendor Name]]="Jig is Up",Tbl_B2_LogicalFunctions_01[[#This Row],[Start Year]]=2018)</f>
        <v>0</v>
      </c>
      <c r="Y20" s="45"/>
      <c r="Z20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0" s="46" t="b">
        <f>NOT(Tbl_B2_LogicalFunctions_01[[#This Row],[Vendor Name]]="Jig Is Up")</f>
        <v>1</v>
      </c>
      <c r="AB20" s="45"/>
      <c r="AC20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0" s="46" t="b">
        <f>Tbl_B2_LogicalFunctions_01[[#This Row],[Vendor Name]]&lt;&gt;"Jig Is Up"</f>
        <v>1</v>
      </c>
      <c r="AE20" s="61" t="s">
        <v>76</v>
      </c>
      <c r="AF20" s="56"/>
      <c r="AG20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0" s="60" t="str">
        <f>IFERROR(Tbl_B2_LogicalFunctions_01[[#This Row],[Vendor Grade (With '#N/A Errors)]],"Invalid")</f>
        <v>C</v>
      </c>
    </row>
    <row r="21" spans="2:34" x14ac:dyDescent="0.25">
      <c r="B21" s="9">
        <v>12</v>
      </c>
      <c r="C21" s="10" t="s">
        <v>24</v>
      </c>
      <c r="D21" s="10">
        <v>43203</v>
      </c>
      <c r="E21" s="9">
        <f>YEAR(Tbl_B2_LogicalFunctions_01[[#This Row],[Start Date]])</f>
        <v>2018</v>
      </c>
      <c r="F21" s="45"/>
      <c r="G21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1" s="46" t="str">
        <f>IF(Tbl_B2_LogicalFunctions_01[[#This Row],[Vendor Name]]="Jig is Up","Y","N")</f>
        <v>Y</v>
      </c>
      <c r="I21" s="45"/>
      <c r="J21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1" s="46" t="str">
        <f>IF(Tbl_B2_LogicalFunctions_01[[#This Row],[Start Year]]=2018,"Y","N")</f>
        <v>Y</v>
      </c>
      <c r="L21" s="10">
        <v>43665</v>
      </c>
      <c r="M21" s="49"/>
      <c r="N21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1" s="50" t="str">
        <f>IF(Tbl_B2_LogicalFunctions_01[[#This Row],[End Date]]="","N","Y")</f>
        <v>Y</v>
      </c>
      <c r="P21" s="49"/>
      <c r="Q21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1" s="52" t="str">
        <f>IF(Tbl_B2_LogicalFunctions_01[[#This Row],[Start Date]]&gt;$P$4,"Y","N")</f>
        <v>Y</v>
      </c>
      <c r="S21" s="49"/>
      <c r="T21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1" s="52" t="b">
        <f>AND(Tbl_B2_LogicalFunctions_01[[#This Row],[Vendor Name]]="Jig is Up",Tbl_B2_LogicalFunctions_01[[#This Row],[Start Year]]=2018)</f>
        <v>1</v>
      </c>
      <c r="V21" s="45"/>
      <c r="W21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1" s="46" t="b">
        <f>OR(Tbl_B2_LogicalFunctions_01[[#This Row],[Vendor Name]]="Jig is Up",Tbl_B2_LogicalFunctions_01[[#This Row],[Start Year]]=2018)</f>
        <v>1</v>
      </c>
      <c r="Y21" s="45"/>
      <c r="Z21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1" s="46" t="b">
        <f>NOT(Tbl_B2_LogicalFunctions_01[[#This Row],[Vendor Name]]="Jig Is Up")</f>
        <v>0</v>
      </c>
      <c r="AB21" s="45"/>
      <c r="AC21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1" s="46" t="b">
        <f>Tbl_B2_LogicalFunctions_01[[#This Row],[Vendor Name]]&lt;&gt;"Jig Is Up"</f>
        <v>0</v>
      </c>
      <c r="AE21" s="61" t="s">
        <v>75</v>
      </c>
      <c r="AF21" s="56"/>
      <c r="AG21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1" s="60" t="str">
        <f>IFERROR(Tbl_B2_LogicalFunctions_01[[#This Row],[Vendor Grade (With '#N/A Errors)]],"Invalid")</f>
        <v>D</v>
      </c>
    </row>
    <row r="22" spans="2:34" x14ac:dyDescent="0.25">
      <c r="B22" s="9">
        <v>13</v>
      </c>
      <c r="C22" s="10" t="s">
        <v>58</v>
      </c>
      <c r="D22" s="10">
        <v>43532</v>
      </c>
      <c r="E22" s="9">
        <f>YEAR(Tbl_B2_LogicalFunctions_01[[#This Row],[Start Date]])</f>
        <v>2019</v>
      </c>
      <c r="F22" s="45"/>
      <c r="G22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2" s="46" t="str">
        <f>IF(Tbl_B2_LogicalFunctions_01[[#This Row],[Vendor Name]]="Jig is Up","Y","N")</f>
        <v>N</v>
      </c>
      <c r="I22" s="45"/>
      <c r="J22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2" s="46" t="str">
        <f>IF(Tbl_B2_LogicalFunctions_01[[#This Row],[Start Year]]=2018,"Y","N")</f>
        <v>N</v>
      </c>
      <c r="L22" s="10">
        <v>43588</v>
      </c>
      <c r="M22" s="49"/>
      <c r="N22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2" s="50" t="str">
        <f>IF(Tbl_B2_LogicalFunctions_01[[#This Row],[End Date]]="","N","Y")</f>
        <v>Y</v>
      </c>
      <c r="P22" s="49"/>
      <c r="Q22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2" s="52" t="str">
        <f>IF(Tbl_B2_LogicalFunctions_01[[#This Row],[Start Date]]&gt;$P$4,"Y","N")</f>
        <v>Y</v>
      </c>
      <c r="S22" s="49"/>
      <c r="T22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2" s="52" t="b">
        <f>AND(Tbl_B2_LogicalFunctions_01[[#This Row],[Vendor Name]]="Jig is Up",Tbl_B2_LogicalFunctions_01[[#This Row],[Start Year]]=2018)</f>
        <v>0</v>
      </c>
      <c r="V22" s="45"/>
      <c r="W22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2" s="46" t="b">
        <f>OR(Tbl_B2_LogicalFunctions_01[[#This Row],[Vendor Name]]="Jig is Up",Tbl_B2_LogicalFunctions_01[[#This Row],[Start Year]]=2018)</f>
        <v>0</v>
      </c>
      <c r="Y22" s="45"/>
      <c r="Z22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2" s="46" t="b">
        <f>NOT(Tbl_B2_LogicalFunctions_01[[#This Row],[Vendor Name]]="Jig Is Up")</f>
        <v>1</v>
      </c>
      <c r="AB22" s="45"/>
      <c r="AC22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2" s="46" t="b">
        <f>Tbl_B2_LogicalFunctions_01[[#This Row],[Vendor Name]]&lt;&gt;"Jig Is Up"</f>
        <v>1</v>
      </c>
      <c r="AE22" s="61" t="s">
        <v>77</v>
      </c>
      <c r="AF22" s="56"/>
      <c r="AG22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2" s="60" t="str">
        <f>IFERROR(Tbl_B2_LogicalFunctions_01[[#This Row],[Vendor Grade (With '#N/A Errors)]],"Invalid")</f>
        <v>A</v>
      </c>
    </row>
    <row r="23" spans="2:34" x14ac:dyDescent="0.25">
      <c r="B23" s="9">
        <v>14</v>
      </c>
      <c r="C23" s="10" t="s">
        <v>24</v>
      </c>
      <c r="D23" s="10">
        <v>43313</v>
      </c>
      <c r="E23" s="9">
        <f>YEAR(Tbl_B2_LogicalFunctions_01[[#This Row],[Start Date]])</f>
        <v>2018</v>
      </c>
      <c r="F23" s="45"/>
      <c r="G23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3" s="46" t="str">
        <f>IF(Tbl_B2_LogicalFunctions_01[[#This Row],[Vendor Name]]="Jig is Up","Y","N")</f>
        <v>Y</v>
      </c>
      <c r="I23" s="45"/>
      <c r="J23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3" s="46" t="str">
        <f>IF(Tbl_B2_LogicalFunctions_01[[#This Row],[Start Year]]=2018,"Y","N")</f>
        <v>Y</v>
      </c>
      <c r="L23" s="10"/>
      <c r="M23" s="49"/>
      <c r="N23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3" s="50" t="str">
        <f>IF(Tbl_B2_LogicalFunctions_01[[#This Row],[End Date]]="","N","Y")</f>
        <v>N</v>
      </c>
      <c r="P23" s="49"/>
      <c r="Q23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3" s="52" t="str">
        <f>IF(Tbl_B2_LogicalFunctions_01[[#This Row],[Start Date]]&gt;$P$4,"Y","N")</f>
        <v>Y</v>
      </c>
      <c r="S23" s="49"/>
      <c r="T23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3" s="52" t="b">
        <f>AND(Tbl_B2_LogicalFunctions_01[[#This Row],[Vendor Name]]="Jig is Up",Tbl_B2_LogicalFunctions_01[[#This Row],[Start Year]]=2018)</f>
        <v>1</v>
      </c>
      <c r="V23" s="45"/>
      <c r="W23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3" s="46" t="b">
        <f>OR(Tbl_B2_LogicalFunctions_01[[#This Row],[Vendor Name]]="Jig is Up",Tbl_B2_LogicalFunctions_01[[#This Row],[Start Year]]=2018)</f>
        <v>1</v>
      </c>
      <c r="Y23" s="45"/>
      <c r="Z23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3" s="46" t="b">
        <f>NOT(Tbl_B2_LogicalFunctions_01[[#This Row],[Vendor Name]]="Jig Is Up")</f>
        <v>0</v>
      </c>
      <c r="AB23" s="45"/>
      <c r="AC23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3" s="46" t="b">
        <f>Tbl_B2_LogicalFunctions_01[[#This Row],[Vendor Name]]&lt;&gt;"Jig Is Up"</f>
        <v>0</v>
      </c>
      <c r="AE23" s="61" t="s">
        <v>74</v>
      </c>
      <c r="AF23" s="56"/>
      <c r="AG23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3" s="60" t="str">
        <f>IFERROR(Tbl_B2_LogicalFunctions_01[[#This Row],[Vendor Grade (With '#N/A Errors)]],"Invalid")</f>
        <v>B</v>
      </c>
    </row>
    <row r="24" spans="2:34" x14ac:dyDescent="0.25">
      <c r="B24" s="9">
        <v>15</v>
      </c>
      <c r="C24" s="10" t="s">
        <v>28</v>
      </c>
      <c r="D24" s="10">
        <v>43234</v>
      </c>
      <c r="E24" s="9">
        <f>YEAR(Tbl_B2_LogicalFunctions_01[[#This Row],[Start Date]])</f>
        <v>2018</v>
      </c>
      <c r="F24" s="45"/>
      <c r="G24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4" s="46" t="str">
        <f>IF(Tbl_B2_LogicalFunctions_01[[#This Row],[Vendor Name]]="Jig is Up","Y","N")</f>
        <v>N</v>
      </c>
      <c r="I24" s="45"/>
      <c r="J24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4" s="46" t="str">
        <f>IF(Tbl_B2_LogicalFunctions_01[[#This Row],[Start Year]]=2018,"Y","N")</f>
        <v>Y</v>
      </c>
      <c r="L24" s="10">
        <v>43539</v>
      </c>
      <c r="M24" s="49"/>
      <c r="N24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4" s="50" t="str">
        <f>IF(Tbl_B2_LogicalFunctions_01[[#This Row],[End Date]]="","N","Y")</f>
        <v>Y</v>
      </c>
      <c r="P24" s="49"/>
      <c r="Q24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4" s="52" t="str">
        <f>IF(Tbl_B2_LogicalFunctions_01[[#This Row],[Start Date]]&gt;$P$4,"Y","N")</f>
        <v>Y</v>
      </c>
      <c r="S24" s="49"/>
      <c r="T24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4" s="52" t="b">
        <f>AND(Tbl_B2_LogicalFunctions_01[[#This Row],[Vendor Name]]="Jig is Up",Tbl_B2_LogicalFunctions_01[[#This Row],[Start Year]]=2018)</f>
        <v>0</v>
      </c>
      <c r="V24" s="45"/>
      <c r="W24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4" s="46" t="b">
        <f>OR(Tbl_B2_LogicalFunctions_01[[#This Row],[Vendor Name]]="Jig is Up",Tbl_B2_LogicalFunctions_01[[#This Row],[Start Year]]=2018)</f>
        <v>1</v>
      </c>
      <c r="Y24" s="45"/>
      <c r="Z24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4" s="46" t="b">
        <f>NOT(Tbl_B2_LogicalFunctions_01[[#This Row],[Vendor Name]]="Jig Is Up")</f>
        <v>1</v>
      </c>
      <c r="AB24" s="45"/>
      <c r="AC24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4" s="46" t="b">
        <f>Tbl_B2_LogicalFunctions_01[[#This Row],[Vendor Name]]&lt;&gt;"Jig Is Up"</f>
        <v>1</v>
      </c>
      <c r="AE24" s="61" t="s">
        <v>76</v>
      </c>
      <c r="AF24" s="56"/>
      <c r="AG24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4" s="60" t="str">
        <f>IFERROR(Tbl_B2_LogicalFunctions_01[[#This Row],[Vendor Grade (With '#N/A Errors)]],"Invalid")</f>
        <v>C</v>
      </c>
    </row>
    <row r="25" spans="2:34" x14ac:dyDescent="0.25">
      <c r="B25" s="9">
        <v>16</v>
      </c>
      <c r="C25" s="10" t="s">
        <v>62</v>
      </c>
      <c r="D25" s="10">
        <v>43254</v>
      </c>
      <c r="E25" s="9">
        <f>YEAR(Tbl_B2_LogicalFunctions_01[[#This Row],[Start Date]])</f>
        <v>2018</v>
      </c>
      <c r="F25" s="45"/>
      <c r="G25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5" s="46" t="str">
        <f>IF(Tbl_B2_LogicalFunctions_01[[#This Row],[Vendor Name]]="Jig is Up","Y","N")</f>
        <v>N</v>
      </c>
      <c r="I25" s="45"/>
      <c r="J25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5" s="46" t="str">
        <f>IF(Tbl_B2_LogicalFunctions_01[[#This Row],[Start Year]]=2018,"Y","N")</f>
        <v>Y</v>
      </c>
      <c r="L25" s="10">
        <v>43662</v>
      </c>
      <c r="M25" s="49"/>
      <c r="N25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5" s="50" t="str">
        <f>IF(Tbl_B2_LogicalFunctions_01[[#This Row],[End Date]]="","N","Y")</f>
        <v>Y</v>
      </c>
      <c r="P25" s="49"/>
      <c r="Q25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5" s="52" t="str">
        <f>IF(Tbl_B2_LogicalFunctions_01[[#This Row],[Start Date]]&gt;$P$4,"Y","N")</f>
        <v>Y</v>
      </c>
      <c r="S25" s="49"/>
      <c r="T25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5" s="52" t="b">
        <f>AND(Tbl_B2_LogicalFunctions_01[[#This Row],[Vendor Name]]="Jig is Up",Tbl_B2_LogicalFunctions_01[[#This Row],[Start Year]]=2018)</f>
        <v>0</v>
      </c>
      <c r="V25" s="45"/>
      <c r="W25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5" s="46" t="b">
        <f>OR(Tbl_B2_LogicalFunctions_01[[#This Row],[Vendor Name]]="Jig is Up",Tbl_B2_LogicalFunctions_01[[#This Row],[Start Year]]=2018)</f>
        <v>1</v>
      </c>
      <c r="Y25" s="45"/>
      <c r="Z25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5" s="46" t="b">
        <f>NOT(Tbl_B2_LogicalFunctions_01[[#This Row],[Vendor Name]]="Jig Is Up")</f>
        <v>1</v>
      </c>
      <c r="AB25" s="45"/>
      <c r="AC25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5" s="46" t="b">
        <f>Tbl_B2_LogicalFunctions_01[[#This Row],[Vendor Name]]&lt;&gt;"Jig Is Up"</f>
        <v>1</v>
      </c>
      <c r="AE25" s="61" t="s">
        <v>76</v>
      </c>
      <c r="AF25" s="56"/>
      <c r="AG25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5" s="60" t="str">
        <f>IFERROR(Tbl_B2_LogicalFunctions_01[[#This Row],[Vendor Grade (With '#N/A Errors)]],"Invalid")</f>
        <v>C</v>
      </c>
    </row>
    <row r="26" spans="2:34" x14ac:dyDescent="0.25">
      <c r="B26" s="9">
        <v>17</v>
      </c>
      <c r="C26" s="10" t="s">
        <v>29</v>
      </c>
      <c r="D26" s="10">
        <v>43493</v>
      </c>
      <c r="E26" s="9">
        <f>YEAR(Tbl_B2_LogicalFunctions_01[[#This Row],[Start Date]])</f>
        <v>2019</v>
      </c>
      <c r="F26" s="45"/>
      <c r="G26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6" s="46" t="str">
        <f>IF(Tbl_B2_LogicalFunctions_01[[#This Row],[Vendor Name]]="Jig is Up","Y","N")</f>
        <v>N</v>
      </c>
      <c r="I26" s="45"/>
      <c r="J26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6" s="46" t="str">
        <f>IF(Tbl_B2_LogicalFunctions_01[[#This Row],[Start Year]]=2018,"Y","N")</f>
        <v>N</v>
      </c>
      <c r="L26" s="10"/>
      <c r="M26" s="49"/>
      <c r="N26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6" s="50" t="str">
        <f>IF(Tbl_B2_LogicalFunctions_01[[#This Row],[End Date]]="","N","Y")</f>
        <v>N</v>
      </c>
      <c r="P26" s="49"/>
      <c r="Q26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6" s="52" t="str">
        <f>IF(Tbl_B2_LogicalFunctions_01[[#This Row],[Start Date]]&gt;$P$4,"Y","N")</f>
        <v>Y</v>
      </c>
      <c r="S26" s="49"/>
      <c r="T26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6" s="52" t="b">
        <f>AND(Tbl_B2_LogicalFunctions_01[[#This Row],[Vendor Name]]="Jig is Up",Tbl_B2_LogicalFunctions_01[[#This Row],[Start Year]]=2018)</f>
        <v>0</v>
      </c>
      <c r="V26" s="45"/>
      <c r="W26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6" s="46" t="b">
        <f>OR(Tbl_B2_LogicalFunctions_01[[#This Row],[Vendor Name]]="Jig is Up",Tbl_B2_LogicalFunctions_01[[#This Row],[Start Year]]=2018)</f>
        <v>0</v>
      </c>
      <c r="Y26" s="45"/>
      <c r="Z26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6" s="46" t="b">
        <f>NOT(Tbl_B2_LogicalFunctions_01[[#This Row],[Vendor Name]]="Jig Is Up")</f>
        <v>1</v>
      </c>
      <c r="AB26" s="45"/>
      <c r="AC26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6" s="46" t="b">
        <f>Tbl_B2_LogicalFunctions_01[[#This Row],[Vendor Name]]&lt;&gt;"Jig Is Up"</f>
        <v>1</v>
      </c>
      <c r="AE26" s="61" t="e">
        <v>#N/A</v>
      </c>
      <c r="AF26" s="56"/>
      <c r="AG26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6" s="60" t="str">
        <f>IFERROR(Tbl_B2_LogicalFunctions_01[[#This Row],[Vendor Grade (With '#N/A Errors)]],"Invalid")</f>
        <v>Invalid</v>
      </c>
    </row>
    <row r="27" spans="2:34" x14ac:dyDescent="0.25">
      <c r="B27" s="9">
        <v>18</v>
      </c>
      <c r="C27" s="10" t="s">
        <v>24</v>
      </c>
      <c r="D27" s="10">
        <v>43255</v>
      </c>
      <c r="E27" s="9">
        <f>YEAR(Tbl_B2_LogicalFunctions_01[[#This Row],[Start Date]])</f>
        <v>2018</v>
      </c>
      <c r="F27" s="45"/>
      <c r="G27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7" s="46" t="str">
        <f>IF(Tbl_B2_LogicalFunctions_01[[#This Row],[Vendor Name]]="Jig is Up","Y","N")</f>
        <v>Y</v>
      </c>
      <c r="I27" s="45"/>
      <c r="J27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7" s="46" t="str">
        <f>IF(Tbl_B2_LogicalFunctions_01[[#This Row],[Start Year]]=2018,"Y","N")</f>
        <v>Y</v>
      </c>
      <c r="L27" s="10">
        <v>43611</v>
      </c>
      <c r="M27" s="49"/>
      <c r="N27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7" s="50" t="str">
        <f>IF(Tbl_B2_LogicalFunctions_01[[#This Row],[End Date]]="","N","Y")</f>
        <v>Y</v>
      </c>
      <c r="P27" s="49"/>
      <c r="Q27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7" s="52" t="str">
        <f>IF(Tbl_B2_LogicalFunctions_01[[#This Row],[Start Date]]&gt;$P$4,"Y","N")</f>
        <v>Y</v>
      </c>
      <c r="S27" s="49"/>
      <c r="T27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7" s="52" t="b">
        <f>AND(Tbl_B2_LogicalFunctions_01[[#This Row],[Vendor Name]]="Jig is Up",Tbl_B2_LogicalFunctions_01[[#This Row],[Start Year]]=2018)</f>
        <v>1</v>
      </c>
      <c r="V27" s="45"/>
      <c r="W27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7" s="46" t="b">
        <f>OR(Tbl_B2_LogicalFunctions_01[[#This Row],[Vendor Name]]="Jig is Up",Tbl_B2_LogicalFunctions_01[[#This Row],[Start Year]]=2018)</f>
        <v>1</v>
      </c>
      <c r="Y27" s="45"/>
      <c r="Z27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7" s="46" t="b">
        <f>NOT(Tbl_B2_LogicalFunctions_01[[#This Row],[Vendor Name]]="Jig Is Up")</f>
        <v>0</v>
      </c>
      <c r="AB27" s="45"/>
      <c r="AC27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7" s="46" t="b">
        <f>Tbl_B2_LogicalFunctions_01[[#This Row],[Vendor Name]]&lt;&gt;"Jig Is Up"</f>
        <v>0</v>
      </c>
      <c r="AE27" s="61" t="s">
        <v>74</v>
      </c>
      <c r="AF27" s="56"/>
      <c r="AG27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7" s="60" t="str">
        <f>IFERROR(Tbl_B2_LogicalFunctions_01[[#This Row],[Vendor Grade (With '#N/A Errors)]],"Invalid")</f>
        <v>B</v>
      </c>
    </row>
    <row r="28" spans="2:34" x14ac:dyDescent="0.25">
      <c r="B28" s="9">
        <v>19</v>
      </c>
      <c r="C28" s="10" t="s">
        <v>24</v>
      </c>
      <c r="D28" s="10">
        <v>43382</v>
      </c>
      <c r="E28" s="9">
        <f>YEAR(Tbl_B2_LogicalFunctions_01[[#This Row],[Start Date]])</f>
        <v>2018</v>
      </c>
      <c r="F28" s="45"/>
      <c r="G28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8" s="46" t="str">
        <f>IF(Tbl_B2_LogicalFunctions_01[[#This Row],[Vendor Name]]="Jig is Up","Y","N")</f>
        <v>Y</v>
      </c>
      <c r="I28" s="45"/>
      <c r="J28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8" s="46" t="str">
        <f>IF(Tbl_B2_LogicalFunctions_01[[#This Row],[Start Year]]=2018,"Y","N")</f>
        <v>Y</v>
      </c>
      <c r="L28" s="10">
        <v>43539</v>
      </c>
      <c r="M28" s="49"/>
      <c r="N28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8" s="50" t="str">
        <f>IF(Tbl_B2_LogicalFunctions_01[[#This Row],[End Date]]="","N","Y")</f>
        <v>Y</v>
      </c>
      <c r="P28" s="49"/>
      <c r="Q28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8" s="52" t="str">
        <f>IF(Tbl_B2_LogicalFunctions_01[[#This Row],[Start Date]]&gt;$P$4,"Y","N")</f>
        <v>Y</v>
      </c>
      <c r="S28" s="49"/>
      <c r="T28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8" s="52" t="b">
        <f>AND(Tbl_B2_LogicalFunctions_01[[#This Row],[Vendor Name]]="Jig is Up",Tbl_B2_LogicalFunctions_01[[#This Row],[Start Year]]=2018)</f>
        <v>1</v>
      </c>
      <c r="V28" s="45"/>
      <c r="W28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8" s="46" t="b">
        <f>OR(Tbl_B2_LogicalFunctions_01[[#This Row],[Vendor Name]]="Jig is Up",Tbl_B2_LogicalFunctions_01[[#This Row],[Start Year]]=2018)</f>
        <v>1</v>
      </c>
      <c r="Y28" s="45"/>
      <c r="Z28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8" s="46" t="b">
        <f>NOT(Tbl_B2_LogicalFunctions_01[[#This Row],[Vendor Name]]="Jig Is Up")</f>
        <v>0</v>
      </c>
      <c r="AB28" s="45"/>
      <c r="AC28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8" s="46" t="b">
        <f>Tbl_B2_LogicalFunctions_01[[#This Row],[Vendor Name]]&lt;&gt;"Jig Is Up"</f>
        <v>0</v>
      </c>
      <c r="AE28" s="61" t="s">
        <v>74</v>
      </c>
      <c r="AF28" s="56"/>
      <c r="AG28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8" s="60" t="str">
        <f>IFERROR(Tbl_B2_LogicalFunctions_01[[#This Row],[Vendor Grade (With '#N/A Errors)]],"Invalid")</f>
        <v>B</v>
      </c>
    </row>
    <row r="29" spans="2:34" x14ac:dyDescent="0.25">
      <c r="B29" s="9">
        <v>20</v>
      </c>
      <c r="C29" s="10" t="s">
        <v>29</v>
      </c>
      <c r="D29" s="10">
        <v>43484</v>
      </c>
      <c r="E29" s="9">
        <f>YEAR(Tbl_B2_LogicalFunctions_01[[#This Row],[Start Date]])</f>
        <v>2019</v>
      </c>
      <c r="F29" s="45"/>
      <c r="G29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29" s="46" t="str">
        <f>IF(Tbl_B2_LogicalFunctions_01[[#This Row],[Vendor Name]]="Jig is Up","Y","N")</f>
        <v>N</v>
      </c>
      <c r="I29" s="45"/>
      <c r="J29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29" s="46" t="str">
        <f>IF(Tbl_B2_LogicalFunctions_01[[#This Row],[Start Year]]=2018,"Y","N")</f>
        <v>N</v>
      </c>
      <c r="L29" s="10">
        <v>43614</v>
      </c>
      <c r="M29" s="49"/>
      <c r="N29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29" s="50" t="str">
        <f>IF(Tbl_B2_LogicalFunctions_01[[#This Row],[End Date]]="","N","Y")</f>
        <v>Y</v>
      </c>
      <c r="P29" s="49"/>
      <c r="Q29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29" s="52" t="str">
        <f>IF(Tbl_B2_LogicalFunctions_01[[#This Row],[Start Date]]&gt;$P$4,"Y","N")</f>
        <v>Y</v>
      </c>
      <c r="S29" s="49"/>
      <c r="T29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29" s="52" t="b">
        <f>AND(Tbl_B2_LogicalFunctions_01[[#This Row],[Vendor Name]]="Jig is Up",Tbl_B2_LogicalFunctions_01[[#This Row],[Start Year]]=2018)</f>
        <v>0</v>
      </c>
      <c r="V29" s="45"/>
      <c r="W29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29" s="46" t="b">
        <f>OR(Tbl_B2_LogicalFunctions_01[[#This Row],[Vendor Name]]="Jig is Up",Tbl_B2_LogicalFunctions_01[[#This Row],[Start Year]]=2018)</f>
        <v>0</v>
      </c>
      <c r="Y29" s="45"/>
      <c r="Z29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29" s="46" t="b">
        <f>NOT(Tbl_B2_LogicalFunctions_01[[#This Row],[Vendor Name]]="Jig Is Up")</f>
        <v>1</v>
      </c>
      <c r="AB29" s="45"/>
      <c r="AC29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29" s="46" t="b">
        <f>Tbl_B2_LogicalFunctions_01[[#This Row],[Vendor Name]]&lt;&gt;"Jig Is Up"</f>
        <v>1</v>
      </c>
      <c r="AE29" s="61" t="e">
        <v>#N/A</v>
      </c>
      <c r="AF29" s="56"/>
      <c r="AG29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29" s="60" t="str">
        <f>IFERROR(Tbl_B2_LogicalFunctions_01[[#This Row],[Vendor Grade (With '#N/A Errors)]],"Invalid")</f>
        <v>Invalid</v>
      </c>
    </row>
    <row r="30" spans="2:34" x14ac:dyDescent="0.25">
      <c r="B30" s="9">
        <v>21</v>
      </c>
      <c r="C30" s="10" t="s">
        <v>29</v>
      </c>
      <c r="D30" s="10">
        <v>42922</v>
      </c>
      <c r="E30" s="9">
        <f>YEAR(Tbl_B2_LogicalFunctions_01[[#This Row],[Start Date]])</f>
        <v>2017</v>
      </c>
      <c r="F30" s="45"/>
      <c r="G30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30" s="46" t="str">
        <f>IF(Tbl_B2_LogicalFunctions_01[[#This Row],[Vendor Name]]="Jig is Up","Y","N")</f>
        <v>N</v>
      </c>
      <c r="I30" s="45"/>
      <c r="J30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30" s="46" t="str">
        <f>IF(Tbl_B2_LogicalFunctions_01[[#This Row],[Start Year]]=2018,"Y","N")</f>
        <v>N</v>
      </c>
      <c r="L30" s="10"/>
      <c r="M30" s="49"/>
      <c r="N30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30" s="50" t="str">
        <f>IF(Tbl_B2_LogicalFunctions_01[[#This Row],[End Date]]="","N","Y")</f>
        <v>N</v>
      </c>
      <c r="P30" s="49"/>
      <c r="Q30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30" s="52" t="str">
        <f>IF(Tbl_B2_LogicalFunctions_01[[#This Row],[Start Date]]&gt;$P$4,"Y","N")</f>
        <v>N</v>
      </c>
      <c r="S30" s="49"/>
      <c r="T30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30" s="52" t="b">
        <f>AND(Tbl_B2_LogicalFunctions_01[[#This Row],[Vendor Name]]="Jig is Up",Tbl_B2_LogicalFunctions_01[[#This Row],[Start Year]]=2018)</f>
        <v>0</v>
      </c>
      <c r="V30" s="45"/>
      <c r="W30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30" s="46" t="b">
        <f>OR(Tbl_B2_LogicalFunctions_01[[#This Row],[Vendor Name]]="Jig is Up",Tbl_B2_LogicalFunctions_01[[#This Row],[Start Year]]=2018)</f>
        <v>0</v>
      </c>
      <c r="Y30" s="45"/>
      <c r="Z30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30" s="46" t="b">
        <f>NOT(Tbl_B2_LogicalFunctions_01[[#This Row],[Vendor Name]]="Jig Is Up")</f>
        <v>1</v>
      </c>
      <c r="AB30" s="45"/>
      <c r="AC30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30" s="46" t="b">
        <f>Tbl_B2_LogicalFunctions_01[[#This Row],[Vendor Name]]&lt;&gt;"Jig Is Up"</f>
        <v>1</v>
      </c>
      <c r="AE30" s="61" t="e">
        <v>#N/A</v>
      </c>
      <c r="AF30" s="56"/>
      <c r="AG30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30" s="60" t="str">
        <f>IFERROR(Tbl_B2_LogicalFunctions_01[[#This Row],[Vendor Grade (With '#N/A Errors)]],"Invalid")</f>
        <v>Invalid</v>
      </c>
    </row>
    <row r="31" spans="2:34" x14ac:dyDescent="0.25">
      <c r="B31" s="9">
        <v>22</v>
      </c>
      <c r="C31" s="10" t="s">
        <v>24</v>
      </c>
      <c r="D31" s="10">
        <v>43455</v>
      </c>
      <c r="E31" s="9">
        <f>YEAR(Tbl_B2_LogicalFunctions_01[[#This Row],[Start Date]])</f>
        <v>2018</v>
      </c>
      <c r="F31" s="45"/>
      <c r="G31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31" s="46" t="str">
        <f>IF(Tbl_B2_LogicalFunctions_01[[#This Row],[Vendor Name]]="Jig is Up","Y","N")</f>
        <v>Y</v>
      </c>
      <c r="I31" s="45"/>
      <c r="J31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31" s="46" t="str">
        <f>IF(Tbl_B2_LogicalFunctions_01[[#This Row],[Start Year]]=2018,"Y","N")</f>
        <v>Y</v>
      </c>
      <c r="L31" s="10"/>
      <c r="M31" s="49"/>
      <c r="N31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31" s="50" t="str">
        <f>IF(Tbl_B2_LogicalFunctions_01[[#This Row],[End Date]]="","N","Y")</f>
        <v>N</v>
      </c>
      <c r="P31" s="49"/>
      <c r="Q31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31" s="52" t="str">
        <f>IF(Tbl_B2_LogicalFunctions_01[[#This Row],[Start Date]]&gt;$P$4,"Y","N")</f>
        <v>Y</v>
      </c>
      <c r="S31" s="49"/>
      <c r="T31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31" s="52" t="b">
        <f>AND(Tbl_B2_LogicalFunctions_01[[#This Row],[Vendor Name]]="Jig is Up",Tbl_B2_LogicalFunctions_01[[#This Row],[Start Year]]=2018)</f>
        <v>1</v>
      </c>
      <c r="V31" s="45"/>
      <c r="W31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31" s="46" t="b">
        <f>OR(Tbl_B2_LogicalFunctions_01[[#This Row],[Vendor Name]]="Jig is Up",Tbl_B2_LogicalFunctions_01[[#This Row],[Start Year]]=2018)</f>
        <v>1</v>
      </c>
      <c r="Y31" s="45"/>
      <c r="Z31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31" s="46" t="b">
        <f>NOT(Tbl_B2_LogicalFunctions_01[[#This Row],[Vendor Name]]="Jig Is Up")</f>
        <v>0</v>
      </c>
      <c r="AB31" s="45"/>
      <c r="AC31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31" s="46" t="b">
        <f>Tbl_B2_LogicalFunctions_01[[#This Row],[Vendor Name]]&lt;&gt;"Jig Is Up"</f>
        <v>0</v>
      </c>
      <c r="AE31" s="61" t="s">
        <v>74</v>
      </c>
      <c r="AF31" s="56"/>
      <c r="AG31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31" s="60" t="str">
        <f>IFERROR(Tbl_B2_LogicalFunctions_01[[#This Row],[Vendor Grade (With '#N/A Errors)]],"Invalid")</f>
        <v>B</v>
      </c>
    </row>
    <row r="32" spans="2:34" x14ac:dyDescent="0.25">
      <c r="B32" s="9">
        <v>23</v>
      </c>
      <c r="C32" s="10" t="s">
        <v>24</v>
      </c>
      <c r="D32" s="10">
        <v>43049</v>
      </c>
      <c r="E32" s="9">
        <f>YEAR(Tbl_B2_LogicalFunctions_01[[#This Row],[Start Date]])</f>
        <v>2017</v>
      </c>
      <c r="F32" s="45"/>
      <c r="G32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32" s="46" t="str">
        <f>IF(Tbl_B2_LogicalFunctions_01[[#This Row],[Vendor Name]]="Jig is Up","Y","N")</f>
        <v>Y</v>
      </c>
      <c r="I32" s="45"/>
      <c r="J32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32" s="46" t="str">
        <f>IF(Tbl_B2_LogicalFunctions_01[[#This Row],[Start Year]]=2018,"Y","N")</f>
        <v>N</v>
      </c>
      <c r="L32" s="10">
        <v>43600</v>
      </c>
      <c r="M32" s="49"/>
      <c r="N32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32" s="50" t="str">
        <f>IF(Tbl_B2_LogicalFunctions_01[[#This Row],[End Date]]="","N","Y")</f>
        <v>Y</v>
      </c>
      <c r="P32" s="49"/>
      <c r="Q32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32" s="52" t="str">
        <f>IF(Tbl_B2_LogicalFunctions_01[[#This Row],[Start Date]]&gt;$P$4,"Y","N")</f>
        <v>N</v>
      </c>
      <c r="S32" s="49"/>
      <c r="T32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32" s="52" t="b">
        <f>AND(Tbl_B2_LogicalFunctions_01[[#This Row],[Vendor Name]]="Jig is Up",Tbl_B2_LogicalFunctions_01[[#This Row],[Start Year]]=2018)</f>
        <v>0</v>
      </c>
      <c r="V32" s="45"/>
      <c r="W32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32" s="46" t="b">
        <f>OR(Tbl_B2_LogicalFunctions_01[[#This Row],[Vendor Name]]="Jig is Up",Tbl_B2_LogicalFunctions_01[[#This Row],[Start Year]]=2018)</f>
        <v>1</v>
      </c>
      <c r="Y32" s="45"/>
      <c r="Z32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32" s="46" t="b">
        <f>NOT(Tbl_B2_LogicalFunctions_01[[#This Row],[Vendor Name]]="Jig Is Up")</f>
        <v>0</v>
      </c>
      <c r="AB32" s="45"/>
      <c r="AC32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32" s="46" t="b">
        <f>Tbl_B2_LogicalFunctions_01[[#This Row],[Vendor Name]]&lt;&gt;"Jig Is Up"</f>
        <v>0</v>
      </c>
      <c r="AE32" s="61" t="s">
        <v>74</v>
      </c>
      <c r="AF32" s="56"/>
      <c r="AG32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32" s="60" t="str">
        <f>IFERROR(Tbl_B2_LogicalFunctions_01[[#This Row],[Vendor Grade (With '#N/A Errors)]],"Invalid")</f>
        <v>B</v>
      </c>
    </row>
    <row r="33" spans="2:34" x14ac:dyDescent="0.25">
      <c r="B33" s="9">
        <v>24</v>
      </c>
      <c r="C33" s="10" t="s">
        <v>24</v>
      </c>
      <c r="D33" s="10">
        <v>42862</v>
      </c>
      <c r="E33" s="9">
        <f>YEAR(Tbl_B2_LogicalFunctions_01[[#This Row],[Start Date]])</f>
        <v>2017</v>
      </c>
      <c r="F33" s="45"/>
      <c r="G33" s="16" t="str">
        <f>IFERROR(IF(Tbl_B2_LogicalFunctions_01[[#This Row],[Vendor is "Jig Is Up" (Y/N)]]="","",IF(AND(_xlfn.ISFORMULA(Tbl_B2_LogicalFunctions_01[[#This Row],[Vendor is "Jig Is Up" (Y/N)]]),EXACT(Tbl_B2_LogicalFunctions_01[[#This Row],[Vendor is "Jig Is Up" (Y/N)]],Tbl_B2_LogicalFunctions_01[[#This Row],[Vendor is "Jig Is Up" (Y/N) ANS]])),Rng_Lkp_AnswerStatus_Good,Rng_Lkp_AnswerStatus_Bad)),Rng_Lkp_AnswerStatus_Bad)</f>
        <v/>
      </c>
      <c r="H33" s="46" t="str">
        <f>IF(Tbl_B2_LogicalFunctions_01[[#This Row],[Vendor Name]]="Jig is Up","Y","N")</f>
        <v>Y</v>
      </c>
      <c r="I33" s="45"/>
      <c r="J33" s="16" t="str">
        <f>IFERROR(IF(Tbl_B2_LogicalFunctions_01[[#This Row],[Start Year is 2018 (Y/N)]]="","",IF(AND(_xlfn.ISFORMULA(Tbl_B2_LogicalFunctions_01[[#This Row],[Start Year is 2018 (Y/N)]]),EXACT(Tbl_B2_LogicalFunctions_01[[#This Row],[Start Year is 2018 (Y/N)]],Tbl_B2_LogicalFunctions_01[[#This Row],[Start Year is 2018 (Y/N) ANS]])),Rng_Lkp_AnswerStatus_Good,Rng_Lkp_AnswerStatus_Bad)),Rng_Lkp_AnswerStatus_Bad)</f>
        <v/>
      </c>
      <c r="K33" s="46" t="str">
        <f>IF(Tbl_B2_LogicalFunctions_01[[#This Row],[Start Year]]=2018,"Y","N")</f>
        <v>N</v>
      </c>
      <c r="L33" s="10">
        <v>43562</v>
      </c>
      <c r="M33" s="49"/>
      <c r="N33" s="16" t="str">
        <f>IFERROR(IF(Tbl_B2_LogicalFunctions_01[[#This Row],[Has End Date (Y/N)]]="","",IF(AND(_xlfn.ISFORMULA(Tbl_B2_LogicalFunctions_01[[#This Row],[Has End Date (Y/N)]]),EXACT(Tbl_B2_LogicalFunctions_01[[#This Row],[Has End Date (Y/N)]],Tbl_B2_LogicalFunctions_01[[#This Row],[Has End Date (Y/N) ANS]])),Rng_Lkp_AnswerStatus_Good,Rng_Lkp_AnswerStatus_Bad)),Rng_Lkp_AnswerStatus_Bad)</f>
        <v/>
      </c>
      <c r="O33" s="50" t="str">
        <f>IF(Tbl_B2_LogicalFunctions_01[[#This Row],[End Date]]="","N","Y")</f>
        <v>Y</v>
      </c>
      <c r="P33" s="49"/>
      <c r="Q33" s="16" t="str">
        <f>IFERROR(IF(Tbl_B2_LogicalFunctions_01[[#This Row],[Start Date is After 3/6/18 (Y/N)]]="","",IF(AND(_xlfn.ISFORMULA(Tbl_B2_LogicalFunctions_01[[#This Row],[Start Date is After 3/6/18 (Y/N)]]),EXACT(Tbl_B2_LogicalFunctions_01[[#This Row],[Start Date is After 3/6/18 (Y/N)]],Tbl_B2_LogicalFunctions_01[[#This Row],[Start Date is After 3/6/18 (Y/N) ANS]])),Rng_Lkp_AnswerStatus_Good,Rng_Lkp_AnswerStatus_Bad)),Rng_Lkp_AnswerStatus_Bad)</f>
        <v/>
      </c>
      <c r="R33" s="52" t="str">
        <f>IF(Tbl_B2_LogicalFunctions_01[[#This Row],[Start Date]]&gt;$P$4,"Y","N")</f>
        <v>N</v>
      </c>
      <c r="S33" s="49"/>
      <c r="T33" s="16" t="str">
        <f>IFERROR(IF(Tbl_B2_LogicalFunctions_01[[#This Row],[Vendor is "Jig Is Up" AND Start Year is 2018 (TRUE/FALSE)]]="","",IF(AND(_xlfn.ISFORMULA(Tbl_B2_LogicalFunctions_01[[#This Row],[Vendor is "Jig Is Up" AND Start Year is 2018 (TRUE/FALSE)]]),EXACT(Tbl_B2_LogicalFunctions_01[[#This Row],[Vendor is "Jig Is Up" AND Start Year is 2018 (TRUE/FALSE)]],Tbl_B2_LogicalFunctions_01[[#This Row],[Vendor is "Jig Is Up" AND Start Year is 2018 (TRUE/FALSE) ANS]])),Rng_Lkp_AnswerStatus_Good,Rng_Lkp_AnswerStatus_Bad)),Rng_Lkp_AnswerStatus_Bad)</f>
        <v/>
      </c>
      <c r="U33" s="52" t="b">
        <f>AND(Tbl_B2_LogicalFunctions_01[[#This Row],[Vendor Name]]="Jig is Up",Tbl_B2_LogicalFunctions_01[[#This Row],[Start Year]]=2018)</f>
        <v>0</v>
      </c>
      <c r="V33" s="45"/>
      <c r="W33" s="16" t="str">
        <f>IFERROR(IF(Tbl_B2_LogicalFunctions_01[[#This Row],[Vendor is "Jig Is Up" OR Start Year is 2018 (TRUE/FALSE)]]="","",IF(AND(_xlfn.ISFORMULA(Tbl_B2_LogicalFunctions_01[[#This Row],[Vendor is "Jig Is Up" OR Start Year is 2018 (TRUE/FALSE)]]),EXACT(Tbl_B2_LogicalFunctions_01[[#This Row],[Vendor is "Jig Is Up" OR Start Year is 2018 (TRUE/FALSE)]],Tbl_B2_LogicalFunctions_01[[#This Row],[Vendor is "Jig Is Up" OR Start Year is 2018 (TRUE/FALSE) ANS]])),Rng_Lkp_AnswerStatus_Good,Rng_Lkp_AnswerStatus_Bad)),Rng_Lkp_AnswerStatus_Bad)</f>
        <v/>
      </c>
      <c r="X33" s="46" t="b">
        <f>OR(Tbl_B2_LogicalFunctions_01[[#This Row],[Vendor Name]]="Jig is Up",Tbl_B2_LogicalFunctions_01[[#This Row],[Start Year]]=2018)</f>
        <v>1</v>
      </c>
      <c r="Y33" s="45"/>
      <c r="Z33" s="16" t="str">
        <f>IFERROR(IF(Tbl_B2_LogicalFunctions_01[[#This Row],[Vendor is NOT "Jig Is Up" (TRUE/FALSE)]]="","",IF(AND(_xlfn.ISFORMULA(Tbl_B2_LogicalFunctions_01[[#This Row],[Vendor is NOT "Jig Is Up" (TRUE/FALSE)]]),EXACT(Tbl_B2_LogicalFunctions_01[[#This Row],[Vendor is NOT "Jig Is Up" (TRUE/FALSE)]],Tbl_B2_LogicalFunctions_01[[#This Row],[Vendor is NOT "Jig Is Up" (TRUE/FALSE) ANS]])),Rng_Lkp_AnswerStatus_Good,Rng_Lkp_AnswerStatus_Bad)),Rng_Lkp_AnswerStatus_Bad)</f>
        <v/>
      </c>
      <c r="AA33" s="46" t="b">
        <f>NOT(Tbl_B2_LogicalFunctions_01[[#This Row],[Vendor Name]]="Jig Is Up")</f>
        <v>0</v>
      </c>
      <c r="AB33" s="45"/>
      <c r="AC33" s="16" t="str">
        <f>IFERROR(IF(Tbl_B2_LogicalFunctions_01[[#This Row],[Vendor is Not Equal to "Jig Is Up" (TRUE/FALSE)]]="","",IF(AND(_xlfn.ISFORMULA(Tbl_B2_LogicalFunctions_01[[#This Row],[Vendor is Not Equal to "Jig Is Up" (TRUE/FALSE)]]),EXACT(Tbl_B2_LogicalFunctions_01[[#This Row],[Vendor is Not Equal to "Jig Is Up" (TRUE/FALSE)]],Tbl_B2_LogicalFunctions_01[[#This Row],[Vendor is Not Equal to "Jig Is Up" (TRUE/FALSE) ANS]])),Rng_Lkp_AnswerStatus_Good,Rng_Lkp_AnswerStatus_Bad)),Rng_Lkp_AnswerStatus_Bad)</f>
        <v/>
      </c>
      <c r="AD33" s="46" t="b">
        <f>Tbl_B2_LogicalFunctions_01[[#This Row],[Vendor Name]]&lt;&gt;"Jig Is Up"</f>
        <v>0</v>
      </c>
      <c r="AE33" s="61" t="s">
        <v>74</v>
      </c>
      <c r="AF33" s="56"/>
      <c r="AG33" s="16" t="str">
        <f>IFERROR(IF(Tbl_B2_LogicalFunctions_01[[#This Row],[Vendor Grade ("Invalid" Instead of '#N/A Errors)]]="","",IF(AND(_xlfn.ISFORMULA(Tbl_B2_LogicalFunctions_01[[#This Row],[Vendor Grade ("Invalid" Instead of '#N/A Errors)]]),EXACT(Tbl_B2_LogicalFunctions_01[[#This Row],[Vendor Grade ("Invalid" Instead of '#N/A Errors)]],Tbl_B2_LogicalFunctions_01[[#This Row],[Vendor Grade ("Invalid" Instead of '#N/A Errors) ANS]])),Rng_Lkp_AnswerStatus_Good,Rng_Lkp_AnswerStatus_Bad)),Rng_Lkp_AnswerStatus_Bad)</f>
        <v/>
      </c>
      <c r="AH33" s="60" t="str">
        <f>IFERROR(Tbl_B2_LogicalFunctions_01[[#This Row],[Vendor Grade (With '#N/A Errors)]],"Invalid")</f>
        <v>B</v>
      </c>
    </row>
  </sheetData>
  <phoneticPr fontId="30" type="noConversion"/>
  <conditionalFormatting sqref="B7:B8 G8 J8 N8 Q8 T8 W8 Z8 AC8 AG8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10:AH33">
    <cfRule type="cellIs" dxfId="3" priority="6" operator="equal">
      <formula>Rng_Lkp_AnswerStatus_Bad</formula>
    </cfRule>
    <cfRule type="cellIs" dxfId="2" priority="7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A9E1-F894-4CCA-8758-4587F67ACE60}">
  <sheetPr>
    <tabColor theme="6"/>
  </sheetPr>
  <dimension ref="A1:V31"/>
  <sheetViews>
    <sheetView showGridLines="0"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ColWidth="9.140625" defaultRowHeight="15" outlineLevelRow="1" outlineLevelCol="1" x14ac:dyDescent="0.25"/>
  <cols>
    <col min="1" max="1" width="2.5703125" style="8" customWidth="1"/>
    <col min="2" max="2" width="6.140625" style="8" bestFit="1" customWidth="1"/>
    <col min="3" max="3" width="14.28515625" style="8" bestFit="1" customWidth="1"/>
    <col min="4" max="4" width="14.28515625" style="8" customWidth="1"/>
    <col min="5" max="5" width="10.28515625" style="8" customWidth="1"/>
    <col min="6" max="6" width="10.28515625" style="8" bestFit="1" customWidth="1"/>
    <col min="7" max="7" width="18.7109375" style="8" customWidth="1"/>
    <col min="8" max="8" width="8.140625" style="8" bestFit="1" customWidth="1"/>
    <col min="9" max="9" width="21.42578125" style="8" hidden="1" customWidth="1" outlineLevel="1"/>
    <col min="10" max="10" width="16.5703125" style="8" bestFit="1" customWidth="1" collapsed="1"/>
    <col min="11" max="11" width="8.140625" style="8" bestFit="1" customWidth="1"/>
    <col min="12" max="12" width="19.5703125" style="8" hidden="1" customWidth="1" outlineLevel="1"/>
    <col min="13" max="13" width="15.42578125" style="8" bestFit="1" customWidth="1" collapsed="1"/>
    <col min="14" max="14" width="8.140625" style="8" bestFit="1" customWidth="1"/>
    <col min="15" max="15" width="20" style="8" hidden="1" customWidth="1" outlineLevel="1"/>
    <col min="16" max="16" width="30.140625" style="8" bestFit="1" customWidth="1" collapsed="1"/>
    <col min="17" max="17" width="8.140625" style="8" bestFit="1" customWidth="1"/>
    <col min="18" max="18" width="30.5703125" style="8" hidden="1" customWidth="1" outlineLevel="1"/>
    <col min="19" max="19" width="49.140625" style="8" bestFit="1" customWidth="1" collapsed="1"/>
    <col min="20" max="20" width="8.140625" style="8" bestFit="1" customWidth="1"/>
    <col min="21" max="21" width="49.140625" style="8" hidden="1" customWidth="1" outlineLevel="1"/>
    <col min="22" max="22" width="9.140625" style="8" collapsed="1"/>
    <col min="23" max="16384" width="9.140625" style="8"/>
  </cols>
  <sheetData>
    <row r="1" spans="1:21" s="6" customFormat="1" ht="21" x14ac:dyDescent="0.35">
      <c r="A1" s="36"/>
      <c r="B1" s="3"/>
      <c r="F1" s="38"/>
      <c r="G1" s="38" t="s">
        <v>163</v>
      </c>
    </row>
    <row r="2" spans="1:21" s="6" customFormat="1" ht="18.75" x14ac:dyDescent="0.3">
      <c r="A2" s="37"/>
      <c r="B2" s="7"/>
      <c r="F2" s="39"/>
      <c r="G2" s="39" t="s">
        <v>19</v>
      </c>
    </row>
    <row r="3" spans="1:21" ht="6.95" customHeight="1" x14ac:dyDescent="0.25"/>
    <row r="4" spans="1:21" x14ac:dyDescent="0.25">
      <c r="E4" s="11"/>
      <c r="F4" s="11" t="s">
        <v>17</v>
      </c>
      <c r="G4" s="19">
        <v>1</v>
      </c>
      <c r="H4" s="12"/>
      <c r="I4" s="12"/>
      <c r="J4" s="19">
        <v>2</v>
      </c>
      <c r="K4" s="12"/>
      <c r="L4" s="12"/>
      <c r="M4" s="19">
        <v>3</v>
      </c>
      <c r="N4" s="12"/>
      <c r="O4" s="12"/>
      <c r="P4" s="19">
        <v>4</v>
      </c>
      <c r="Q4" s="12"/>
      <c r="R4" s="12"/>
      <c r="S4" s="19">
        <v>5</v>
      </c>
      <c r="T4" s="12"/>
      <c r="U4" s="12"/>
    </row>
    <row r="5" spans="1:21" hidden="1" outlineLevel="1" x14ac:dyDescent="0.25">
      <c r="B5" s="25" t="str">
        <f>IFERROR(IF(SUMIFS(G5:U5,G4:U4,"&gt;=0")=0,"",SUMIFS(G5:U5,G4:U4,"&gt;=0")/SUMIFS(G5:U5,G6:U6,"ANSWER")),"")</f>
        <v/>
      </c>
      <c r="C5" s="22" t="s">
        <v>8</v>
      </c>
      <c r="D5" s="69"/>
      <c r="E5" s="11"/>
      <c r="F5" s="11"/>
      <c r="G5" s="23">
        <f>IFERROR(COUNTA(Tbl_BONUS_02_LogicalFunctions_01[Contractor Day Rate is Between 250 and 750 (TRUE/FALSE)]),"")</f>
        <v>0</v>
      </c>
      <c r="H5" s="24">
        <f>IFERROR(COUNTIF(Tbl_BONUS_02_LogicalFunctions_01[Answer Status Q01],Rng_Lkp_AnswerStatus_Good),"")</f>
        <v>0</v>
      </c>
      <c r="I5" s="24">
        <f>IFERROR(COUNTA(Tbl_BONUS_02_LogicalFunctions_01[Contractor Day Rate is Between 250 and 750 (TRUE/FALSE) ANS]),"")</f>
        <v>24</v>
      </c>
      <c r="J5" s="23">
        <f>IFERROR(COUNTA(Tbl_BONUS_02_LogicalFunctions_01[Contractor Day Rate is Between 250 and 750 (Y/N)]),"")</f>
        <v>0</v>
      </c>
      <c r="K5" s="24">
        <f>IFERROR(COUNTIF(Tbl_BONUS_02_LogicalFunctions_01[Answer Status Q02],Rng_Lkp_AnswerStatus_Good),"")</f>
        <v>0</v>
      </c>
      <c r="L5" s="24">
        <f>IFERROR(COUNTA(Tbl_BONUS_02_LogicalFunctions_01[Contractor Day Rate is Between 250 and 750 (Y/N) ANS]),"")</f>
        <v>24</v>
      </c>
      <c r="M5" s="23">
        <f>IFERROR(COUNTA(Tbl_BONUS_02_LogicalFunctions_01[If Grade A OR B, Then "Great", Otherwise "OK"]),"")</f>
        <v>0</v>
      </c>
      <c r="N5" s="24">
        <f>IFERROR(COUNTIF(Tbl_BONUS_02_LogicalFunctions_01[Answer Status Q03],Rng_Lkp_AnswerStatus_Good),"")</f>
        <v>0</v>
      </c>
      <c r="O5" s="24">
        <f>IFERROR(COUNTA(Tbl_BONUS_02_LogicalFunctions_01[If Grade A OR B, Then "Great", Otherwise "OK" ANS]),"")</f>
        <v>24</v>
      </c>
      <c r="P5" s="23">
        <f>IFERROR(COUNTA(Tbl_BONUS_02_LogicalFunctions_01[If Grade A Then "10% Discount", If Grade B Then "5% Discount", Otherwise "No Discount"]),"")</f>
        <v>0</v>
      </c>
      <c r="Q5" s="24">
        <f>IFERROR(COUNTIF(Tbl_BONUS_02_LogicalFunctions_01[Answer Status Q04],Rng_Lkp_AnswerStatus_Good),"")</f>
        <v>0</v>
      </c>
      <c r="R5" s="24">
        <f>IFERROR(COUNTA(Tbl_BONUS_02_LogicalFunctions_01[If Grade A Then "10% Discount", If Grade B Then "5% Discount", Otherwise "No Discount" ANS]),"")</f>
        <v>24</v>
      </c>
      <c r="S5" s="23">
        <f>IFERROR(COUNTA(Tbl_BONUS_02_LogicalFunctions_01[If Vendor is "Jig Is Up" Or "Cup Of Joe", And Grade is "A" or "B", And Contractor Hourly Rate is Less Than $800, Then "HIRE", Otherwise "DO NOT HIRE"]),"")</f>
        <v>0</v>
      </c>
      <c r="T5" s="24">
        <f>IFERROR(COUNTIF(Tbl_BONUS_02_LogicalFunctions_01[Answer Status Q05],Rng_Lkp_AnswerStatus_Good),"")</f>
        <v>0</v>
      </c>
      <c r="U5" s="24">
        <f>IFERROR(COUNTA(Tbl_BONUS_02_LogicalFunctions_01[If Vendor is "Jig Is Up" Or "Cup Of Joe", And Grade is "A" or "B", And Contractor Hourly Rate is Less Than $800, Then "HIRE", Otherwise "DO NOT HIRE" ANS]),"")</f>
        <v>24</v>
      </c>
    </row>
    <row r="6" spans="1:21" collapsed="1" x14ac:dyDescent="0.25">
      <c r="B6" s="25" t="str">
        <f>IFERROR(IF(SUMIFS(G5:U5,G4:U4,"&gt;=0")=0,"",SUMIFS(G5:U5,G6:U6,"&gt;=0", G6:U6,"&lt;=1")/SUMIFS(G5:U5,G4:U4,"&gt;0")),"")</f>
        <v/>
      </c>
      <c r="C6" s="22" t="s">
        <v>9</v>
      </c>
      <c r="D6" s="69"/>
      <c r="G6" s="47" t="s">
        <v>20</v>
      </c>
      <c r="H6" s="17" t="str">
        <f>IFERROR(H5/G5,"")</f>
        <v/>
      </c>
      <c r="I6" s="20" t="s">
        <v>0</v>
      </c>
      <c r="J6" s="19" t="s">
        <v>82</v>
      </c>
      <c r="K6" s="17" t="str">
        <f>IFERROR(K5/J5,"")</f>
        <v/>
      </c>
      <c r="L6" s="20" t="s">
        <v>0</v>
      </c>
      <c r="M6" s="19" t="s">
        <v>87</v>
      </c>
      <c r="N6" s="17" t="str">
        <f>IFERROR(N5/M5,"")</f>
        <v/>
      </c>
      <c r="O6" s="20" t="s">
        <v>0</v>
      </c>
      <c r="P6" s="47" t="s">
        <v>90</v>
      </c>
      <c r="Q6" s="17" t="str">
        <f>IFERROR(Q5/P5,"")</f>
        <v/>
      </c>
      <c r="R6" s="20" t="s">
        <v>0</v>
      </c>
      <c r="S6" s="19" t="s">
        <v>91</v>
      </c>
      <c r="T6" s="17" t="str">
        <f>IFERROR(T5/S5,"")</f>
        <v/>
      </c>
      <c r="U6" s="20" t="s">
        <v>0</v>
      </c>
    </row>
    <row r="7" spans="1:21" ht="45" x14ac:dyDescent="0.25">
      <c r="B7" s="14" t="s">
        <v>15</v>
      </c>
      <c r="C7" s="14" t="s">
        <v>23</v>
      </c>
      <c r="D7" s="14" t="s">
        <v>31</v>
      </c>
      <c r="E7" s="64" t="s">
        <v>249</v>
      </c>
      <c r="F7" s="28" t="s">
        <v>78</v>
      </c>
      <c r="G7" s="18" t="s">
        <v>83</v>
      </c>
      <c r="H7" s="15" t="s">
        <v>4</v>
      </c>
      <c r="I7" s="21" t="s">
        <v>84</v>
      </c>
      <c r="J7" s="18" t="s">
        <v>85</v>
      </c>
      <c r="K7" s="15" t="s">
        <v>5</v>
      </c>
      <c r="L7" s="21" t="s">
        <v>86</v>
      </c>
      <c r="M7" s="18" t="s">
        <v>88</v>
      </c>
      <c r="N7" s="15" t="s">
        <v>6</v>
      </c>
      <c r="O7" s="21" t="s">
        <v>89</v>
      </c>
      <c r="P7" s="18" t="s">
        <v>223</v>
      </c>
      <c r="Q7" s="15" t="s">
        <v>7</v>
      </c>
      <c r="R7" s="21" t="s">
        <v>224</v>
      </c>
      <c r="S7" s="34" t="s">
        <v>92</v>
      </c>
      <c r="T7" s="27" t="s">
        <v>10</v>
      </c>
      <c r="U7" s="35" t="s">
        <v>93</v>
      </c>
    </row>
    <row r="8" spans="1:21" x14ac:dyDescent="0.25">
      <c r="B8" s="9">
        <v>1</v>
      </c>
      <c r="C8" s="10" t="s">
        <v>29</v>
      </c>
      <c r="D8" s="10" t="s">
        <v>32</v>
      </c>
      <c r="E8" s="63">
        <v>315</v>
      </c>
      <c r="F8" s="9" t="s">
        <v>74</v>
      </c>
      <c r="G8" s="40"/>
      <c r="H8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8" s="42" t="b">
        <f>AND(Tbl_BONUS_02_LogicalFunctions_01[[#This Row],[Contractor Day Rate]]&gt;250,Tbl_BONUS_02_LogicalFunctions_01[[#This Row],[Contractor Day Rate]]&lt;750)</f>
        <v>1</v>
      </c>
      <c r="J8" s="40"/>
      <c r="K8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8" s="42" t="str">
        <f>IF(AND(Tbl_BONUS_02_LogicalFunctions_01[[#This Row],[Contractor Day Rate]]&gt;250,Tbl_BONUS_02_LogicalFunctions_01[[#This Row],[Contractor Day Rate]]&lt;750),"Y","N")</f>
        <v>Y</v>
      </c>
      <c r="M8" s="48"/>
      <c r="N8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8" s="26" t="str">
        <f>IF(OR(Tbl_BONUS_02_LogicalFunctions_01[[#This Row],[Contractor Grade]]="A",Tbl_BONUS_02_LogicalFunctions_01[[#This Row],[Contractor Grade]]="B"),"Great","OK")</f>
        <v>Great</v>
      </c>
      <c r="P8" s="65"/>
      <c r="Q8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8" s="67" t="str">
        <f>IF(Tbl_BONUS_02_LogicalFunctions_01[[#This Row],[Contractor Grade]]="A","10% Discount",IF(Tbl_BONUS_02_LogicalFunctions_01[[#This Row],[Contractor Grade]]="B","5% Discount","No Discount"))</f>
        <v>5% Discount</v>
      </c>
      <c r="S8" s="48"/>
      <c r="T8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8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HIRE</v>
      </c>
    </row>
    <row r="9" spans="1:21" x14ac:dyDescent="0.25">
      <c r="B9" s="9">
        <v>2</v>
      </c>
      <c r="C9" s="10" t="s">
        <v>24</v>
      </c>
      <c r="D9" s="10" t="s">
        <v>33</v>
      </c>
      <c r="E9" s="63">
        <v>370</v>
      </c>
      <c r="F9" s="9" t="s">
        <v>74</v>
      </c>
      <c r="G9" s="41"/>
      <c r="H9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9" s="42" t="b">
        <f>AND(Tbl_BONUS_02_LogicalFunctions_01[[#This Row],[Contractor Day Rate]]&gt;250,Tbl_BONUS_02_LogicalFunctions_01[[#This Row],[Contractor Day Rate]]&lt;750)</f>
        <v>1</v>
      </c>
      <c r="J9" s="41"/>
      <c r="K9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9" s="42" t="str">
        <f>IF(AND(Tbl_BONUS_02_LogicalFunctions_01[[#This Row],[Contractor Day Rate]]&gt;250,Tbl_BONUS_02_LogicalFunctions_01[[#This Row],[Contractor Day Rate]]&lt;750),"Y","N")</f>
        <v>Y</v>
      </c>
      <c r="M9" s="48"/>
      <c r="N9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9" s="26" t="str">
        <f>IF(OR(Tbl_BONUS_02_LogicalFunctions_01[[#This Row],[Contractor Grade]]="A",Tbl_BONUS_02_LogicalFunctions_01[[#This Row],[Contractor Grade]]="B"),"Great","OK")</f>
        <v>Great</v>
      </c>
      <c r="P9" s="65"/>
      <c r="Q9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9" s="67" t="str">
        <f>IF(Tbl_BONUS_02_LogicalFunctions_01[[#This Row],[Contractor Grade]]="A","10% Discount",IF(Tbl_BONUS_02_LogicalFunctions_01[[#This Row],[Contractor Grade]]="B","5% Discount","No Discount"))</f>
        <v>5% Discount</v>
      </c>
      <c r="S9" s="48"/>
      <c r="T9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9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HIRE</v>
      </c>
    </row>
    <row r="10" spans="1:21" x14ac:dyDescent="0.25">
      <c r="B10" s="9">
        <v>3</v>
      </c>
      <c r="C10" s="10" t="s">
        <v>25</v>
      </c>
      <c r="D10" s="10" t="s">
        <v>34</v>
      </c>
      <c r="E10" s="63">
        <v>200</v>
      </c>
      <c r="F10" s="9" t="s">
        <v>76</v>
      </c>
      <c r="G10" s="41"/>
      <c r="H10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0" s="42" t="b">
        <f>AND(Tbl_BONUS_02_LogicalFunctions_01[[#This Row],[Contractor Day Rate]]&gt;250,Tbl_BONUS_02_LogicalFunctions_01[[#This Row],[Contractor Day Rate]]&lt;750)</f>
        <v>0</v>
      </c>
      <c r="J10" s="41"/>
      <c r="K10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0" s="42" t="str">
        <f>IF(AND(Tbl_BONUS_02_LogicalFunctions_01[[#This Row],[Contractor Day Rate]]&gt;250,Tbl_BONUS_02_LogicalFunctions_01[[#This Row],[Contractor Day Rate]]&lt;750),"Y","N")</f>
        <v>N</v>
      </c>
      <c r="M10" s="48"/>
      <c r="N10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0" s="26" t="str">
        <f>IF(OR(Tbl_BONUS_02_LogicalFunctions_01[[#This Row],[Contractor Grade]]="A",Tbl_BONUS_02_LogicalFunctions_01[[#This Row],[Contractor Grade]]="B"),"Great","OK")</f>
        <v>OK</v>
      </c>
      <c r="P10" s="65"/>
      <c r="Q10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0" s="67" t="str">
        <f>IF(Tbl_BONUS_02_LogicalFunctions_01[[#This Row],[Contractor Grade]]="A","10% Discount",IF(Tbl_BONUS_02_LogicalFunctions_01[[#This Row],[Contractor Grade]]="B","5% Discount","No Discount"))</f>
        <v>No Discount</v>
      </c>
      <c r="S10" s="48"/>
      <c r="T10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0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11" spans="1:21" x14ac:dyDescent="0.25">
      <c r="B11" s="9">
        <v>4</v>
      </c>
      <c r="C11" s="10" t="s">
        <v>24</v>
      </c>
      <c r="D11" s="10" t="s">
        <v>35</v>
      </c>
      <c r="E11" s="63">
        <v>250</v>
      </c>
      <c r="F11" s="9" t="s">
        <v>76</v>
      </c>
      <c r="G11" s="41"/>
      <c r="H11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1" s="42" t="b">
        <f>AND(Tbl_BONUS_02_LogicalFunctions_01[[#This Row],[Contractor Day Rate]]&gt;250,Tbl_BONUS_02_LogicalFunctions_01[[#This Row],[Contractor Day Rate]]&lt;750)</f>
        <v>0</v>
      </c>
      <c r="J11" s="41"/>
      <c r="K11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1" s="42" t="str">
        <f>IF(AND(Tbl_BONUS_02_LogicalFunctions_01[[#This Row],[Contractor Day Rate]]&gt;250,Tbl_BONUS_02_LogicalFunctions_01[[#This Row],[Contractor Day Rate]]&lt;750),"Y","N")</f>
        <v>N</v>
      </c>
      <c r="M11" s="48"/>
      <c r="N11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1" s="26" t="str">
        <f>IF(OR(Tbl_BONUS_02_LogicalFunctions_01[[#This Row],[Contractor Grade]]="A",Tbl_BONUS_02_LogicalFunctions_01[[#This Row],[Contractor Grade]]="B"),"Great","OK")</f>
        <v>OK</v>
      </c>
      <c r="P11" s="65"/>
      <c r="Q11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1" s="67" t="str">
        <f>IF(Tbl_BONUS_02_LogicalFunctions_01[[#This Row],[Contractor Grade]]="A","10% Discount",IF(Tbl_BONUS_02_LogicalFunctions_01[[#This Row],[Contractor Grade]]="B","5% Discount","No Discount"))</f>
        <v>No Discount</v>
      </c>
      <c r="S11" s="48"/>
      <c r="T11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1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12" spans="1:21" x14ac:dyDescent="0.25">
      <c r="B12" s="9">
        <v>5</v>
      </c>
      <c r="C12" s="10" t="s">
        <v>60</v>
      </c>
      <c r="D12" s="10" t="s">
        <v>36</v>
      </c>
      <c r="E12" s="63">
        <v>270</v>
      </c>
      <c r="F12" s="9" t="s">
        <v>76</v>
      </c>
      <c r="G12" s="41"/>
      <c r="H12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2" s="42" t="b">
        <f>AND(Tbl_BONUS_02_LogicalFunctions_01[[#This Row],[Contractor Day Rate]]&gt;250,Tbl_BONUS_02_LogicalFunctions_01[[#This Row],[Contractor Day Rate]]&lt;750)</f>
        <v>1</v>
      </c>
      <c r="J12" s="41"/>
      <c r="K12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2" s="42" t="str">
        <f>IF(AND(Tbl_BONUS_02_LogicalFunctions_01[[#This Row],[Contractor Day Rate]]&gt;250,Tbl_BONUS_02_LogicalFunctions_01[[#This Row],[Contractor Day Rate]]&lt;750),"Y","N")</f>
        <v>Y</v>
      </c>
      <c r="M12" s="48"/>
      <c r="N12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2" s="26" t="str">
        <f>IF(OR(Tbl_BONUS_02_LogicalFunctions_01[[#This Row],[Contractor Grade]]="A",Tbl_BONUS_02_LogicalFunctions_01[[#This Row],[Contractor Grade]]="B"),"Great","OK")</f>
        <v>OK</v>
      </c>
      <c r="P12" s="65"/>
      <c r="Q12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2" s="67" t="str">
        <f>IF(Tbl_BONUS_02_LogicalFunctions_01[[#This Row],[Contractor Grade]]="A","10% Discount",IF(Tbl_BONUS_02_LogicalFunctions_01[[#This Row],[Contractor Grade]]="B","5% Discount","No Discount"))</f>
        <v>No Discount</v>
      </c>
      <c r="S12" s="48"/>
      <c r="T12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2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13" spans="1:21" x14ac:dyDescent="0.25">
      <c r="B13" s="9">
        <v>6</v>
      </c>
      <c r="C13" s="10" t="s">
        <v>61</v>
      </c>
      <c r="D13" s="10" t="s">
        <v>37</v>
      </c>
      <c r="E13" s="63">
        <v>615</v>
      </c>
      <c r="F13" s="9" t="s">
        <v>74</v>
      </c>
      <c r="G13" s="41"/>
      <c r="H13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3" s="42" t="b">
        <f>AND(Tbl_BONUS_02_LogicalFunctions_01[[#This Row],[Contractor Day Rate]]&gt;250,Tbl_BONUS_02_LogicalFunctions_01[[#This Row],[Contractor Day Rate]]&lt;750)</f>
        <v>1</v>
      </c>
      <c r="J13" s="41"/>
      <c r="K13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3" s="42" t="str">
        <f>IF(AND(Tbl_BONUS_02_LogicalFunctions_01[[#This Row],[Contractor Day Rate]]&gt;250,Tbl_BONUS_02_LogicalFunctions_01[[#This Row],[Contractor Day Rate]]&lt;750),"Y","N")</f>
        <v>Y</v>
      </c>
      <c r="M13" s="48"/>
      <c r="N13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3" s="26" t="str">
        <f>IF(OR(Tbl_BONUS_02_LogicalFunctions_01[[#This Row],[Contractor Grade]]="A",Tbl_BONUS_02_LogicalFunctions_01[[#This Row],[Contractor Grade]]="B"),"Great","OK")</f>
        <v>Great</v>
      </c>
      <c r="P13" s="65"/>
      <c r="Q13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3" s="67" t="str">
        <f>IF(Tbl_BONUS_02_LogicalFunctions_01[[#This Row],[Contractor Grade]]="A","10% Discount",IF(Tbl_BONUS_02_LogicalFunctions_01[[#This Row],[Contractor Grade]]="B","5% Discount","No Discount"))</f>
        <v>5% Discount</v>
      </c>
      <c r="S13" s="48"/>
      <c r="T13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3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14" spans="1:21" x14ac:dyDescent="0.25">
      <c r="B14" s="9">
        <v>7</v>
      </c>
      <c r="C14" s="10" t="s">
        <v>26</v>
      </c>
      <c r="D14" s="10" t="s">
        <v>38</v>
      </c>
      <c r="E14" s="63">
        <v>1000</v>
      </c>
      <c r="F14" s="9" t="s">
        <v>76</v>
      </c>
      <c r="G14" s="41"/>
      <c r="H14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4" s="42" t="b">
        <f>AND(Tbl_BONUS_02_LogicalFunctions_01[[#This Row],[Contractor Day Rate]]&gt;250,Tbl_BONUS_02_LogicalFunctions_01[[#This Row],[Contractor Day Rate]]&lt;750)</f>
        <v>0</v>
      </c>
      <c r="J14" s="41"/>
      <c r="K14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4" s="42" t="str">
        <f>IF(AND(Tbl_BONUS_02_LogicalFunctions_01[[#This Row],[Contractor Day Rate]]&gt;250,Tbl_BONUS_02_LogicalFunctions_01[[#This Row],[Contractor Day Rate]]&lt;750),"Y","N")</f>
        <v>N</v>
      </c>
      <c r="M14" s="48"/>
      <c r="N14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4" s="26" t="str">
        <f>IF(OR(Tbl_BONUS_02_LogicalFunctions_01[[#This Row],[Contractor Grade]]="A",Tbl_BONUS_02_LogicalFunctions_01[[#This Row],[Contractor Grade]]="B"),"Great","OK")</f>
        <v>OK</v>
      </c>
      <c r="P14" s="65"/>
      <c r="Q14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4" s="67" t="str">
        <f>IF(Tbl_BONUS_02_LogicalFunctions_01[[#This Row],[Contractor Grade]]="A","10% Discount",IF(Tbl_BONUS_02_LogicalFunctions_01[[#This Row],[Contractor Grade]]="B","5% Discount","No Discount"))</f>
        <v>No Discount</v>
      </c>
      <c r="S14" s="48"/>
      <c r="T14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4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15" spans="1:21" x14ac:dyDescent="0.25">
      <c r="B15" s="9">
        <v>8</v>
      </c>
      <c r="C15" s="10" t="s">
        <v>26</v>
      </c>
      <c r="D15" s="10" t="s">
        <v>39</v>
      </c>
      <c r="E15" s="63">
        <v>980</v>
      </c>
      <c r="F15" s="9" t="s">
        <v>75</v>
      </c>
      <c r="G15" s="41"/>
      <c r="H15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5" s="42" t="b">
        <f>AND(Tbl_BONUS_02_LogicalFunctions_01[[#This Row],[Contractor Day Rate]]&gt;250,Tbl_BONUS_02_LogicalFunctions_01[[#This Row],[Contractor Day Rate]]&lt;750)</f>
        <v>0</v>
      </c>
      <c r="J15" s="41"/>
      <c r="K15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5" s="42" t="str">
        <f>IF(AND(Tbl_BONUS_02_LogicalFunctions_01[[#This Row],[Contractor Day Rate]]&gt;250,Tbl_BONUS_02_LogicalFunctions_01[[#This Row],[Contractor Day Rate]]&lt;750),"Y","N")</f>
        <v>N</v>
      </c>
      <c r="M15" s="48"/>
      <c r="N15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5" s="26" t="str">
        <f>IF(OR(Tbl_BONUS_02_LogicalFunctions_01[[#This Row],[Contractor Grade]]="A",Tbl_BONUS_02_LogicalFunctions_01[[#This Row],[Contractor Grade]]="B"),"Great","OK")</f>
        <v>OK</v>
      </c>
      <c r="P15" s="65"/>
      <c r="Q15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5" s="67" t="str">
        <f>IF(Tbl_BONUS_02_LogicalFunctions_01[[#This Row],[Contractor Grade]]="A","10% Discount",IF(Tbl_BONUS_02_LogicalFunctions_01[[#This Row],[Contractor Grade]]="B","5% Discount","No Discount"))</f>
        <v>No Discount</v>
      </c>
      <c r="S15" s="48"/>
      <c r="T15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5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16" spans="1:21" x14ac:dyDescent="0.25">
      <c r="B16" s="9">
        <v>9</v>
      </c>
      <c r="C16" s="10" t="s">
        <v>24</v>
      </c>
      <c r="D16" s="10" t="s">
        <v>59</v>
      </c>
      <c r="E16" s="63">
        <v>385</v>
      </c>
      <c r="F16" s="9" t="s">
        <v>74</v>
      </c>
      <c r="G16" s="41"/>
      <c r="H16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6" s="42" t="b">
        <f>AND(Tbl_BONUS_02_LogicalFunctions_01[[#This Row],[Contractor Day Rate]]&gt;250,Tbl_BONUS_02_LogicalFunctions_01[[#This Row],[Contractor Day Rate]]&lt;750)</f>
        <v>1</v>
      </c>
      <c r="J16" s="41"/>
      <c r="K16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6" s="42" t="str">
        <f>IF(AND(Tbl_BONUS_02_LogicalFunctions_01[[#This Row],[Contractor Day Rate]]&gt;250,Tbl_BONUS_02_LogicalFunctions_01[[#This Row],[Contractor Day Rate]]&lt;750),"Y","N")</f>
        <v>Y</v>
      </c>
      <c r="M16" s="48"/>
      <c r="N16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6" s="26" t="str">
        <f>IF(OR(Tbl_BONUS_02_LogicalFunctions_01[[#This Row],[Contractor Grade]]="A",Tbl_BONUS_02_LogicalFunctions_01[[#This Row],[Contractor Grade]]="B"),"Great","OK")</f>
        <v>Great</v>
      </c>
      <c r="P16" s="65"/>
      <c r="Q16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6" s="67" t="str">
        <f>IF(Tbl_BONUS_02_LogicalFunctions_01[[#This Row],[Contractor Grade]]="A","10% Discount",IF(Tbl_BONUS_02_LogicalFunctions_01[[#This Row],[Contractor Grade]]="B","5% Discount","No Discount"))</f>
        <v>5% Discount</v>
      </c>
      <c r="S16" s="48"/>
      <c r="T16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6" s="51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HIRE</v>
      </c>
    </row>
    <row r="17" spans="2:21" x14ac:dyDescent="0.25">
      <c r="B17" s="9">
        <v>10</v>
      </c>
      <c r="C17" s="10" t="s">
        <v>27</v>
      </c>
      <c r="D17" s="10" t="s">
        <v>40</v>
      </c>
      <c r="E17" s="63">
        <v>775</v>
      </c>
      <c r="F17" s="9" t="s">
        <v>76</v>
      </c>
      <c r="G17" s="45"/>
      <c r="H17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7" s="46" t="b">
        <f>AND(Tbl_BONUS_02_LogicalFunctions_01[[#This Row],[Contractor Day Rate]]&gt;250,Tbl_BONUS_02_LogicalFunctions_01[[#This Row],[Contractor Day Rate]]&lt;750)</f>
        <v>0</v>
      </c>
      <c r="J17" s="45"/>
      <c r="K17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7" s="46" t="str">
        <f>IF(AND(Tbl_BONUS_02_LogicalFunctions_01[[#This Row],[Contractor Day Rate]]&gt;250,Tbl_BONUS_02_LogicalFunctions_01[[#This Row],[Contractor Day Rate]]&lt;750),"Y","N")</f>
        <v>N</v>
      </c>
      <c r="M17" s="49"/>
      <c r="N17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7" s="50" t="str">
        <f>IF(OR(Tbl_BONUS_02_LogicalFunctions_01[[#This Row],[Contractor Grade]]="A",Tbl_BONUS_02_LogicalFunctions_01[[#This Row],[Contractor Grade]]="B"),"Great","OK")</f>
        <v>OK</v>
      </c>
      <c r="P17" s="66"/>
      <c r="Q17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7" s="68" t="str">
        <f>IF(Tbl_BONUS_02_LogicalFunctions_01[[#This Row],[Contractor Grade]]="A","10% Discount",IF(Tbl_BONUS_02_LogicalFunctions_01[[#This Row],[Contractor Grade]]="B","5% Discount","No Discount"))</f>
        <v>No Discount</v>
      </c>
      <c r="S17" s="49"/>
      <c r="T17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7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18" spans="2:21" x14ac:dyDescent="0.25">
      <c r="B18" s="9">
        <v>11</v>
      </c>
      <c r="C18" s="10" t="s">
        <v>57</v>
      </c>
      <c r="D18" s="10" t="s">
        <v>41</v>
      </c>
      <c r="E18" s="63">
        <v>475</v>
      </c>
      <c r="F18" s="9" t="s">
        <v>76</v>
      </c>
      <c r="G18" s="45"/>
      <c r="H18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8" s="46" t="b">
        <f>AND(Tbl_BONUS_02_LogicalFunctions_01[[#This Row],[Contractor Day Rate]]&gt;250,Tbl_BONUS_02_LogicalFunctions_01[[#This Row],[Contractor Day Rate]]&lt;750)</f>
        <v>1</v>
      </c>
      <c r="J18" s="45"/>
      <c r="K18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8" s="46" t="str">
        <f>IF(AND(Tbl_BONUS_02_LogicalFunctions_01[[#This Row],[Contractor Day Rate]]&gt;250,Tbl_BONUS_02_LogicalFunctions_01[[#This Row],[Contractor Day Rate]]&lt;750),"Y","N")</f>
        <v>Y</v>
      </c>
      <c r="M18" s="49"/>
      <c r="N18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8" s="50" t="str">
        <f>IF(OR(Tbl_BONUS_02_LogicalFunctions_01[[#This Row],[Contractor Grade]]="A",Tbl_BONUS_02_LogicalFunctions_01[[#This Row],[Contractor Grade]]="B"),"Great","OK")</f>
        <v>OK</v>
      </c>
      <c r="P18" s="66"/>
      <c r="Q18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8" s="68" t="str">
        <f>IF(Tbl_BONUS_02_LogicalFunctions_01[[#This Row],[Contractor Grade]]="A","10% Discount",IF(Tbl_BONUS_02_LogicalFunctions_01[[#This Row],[Contractor Grade]]="B","5% Discount","No Discount"))</f>
        <v>No Discount</v>
      </c>
      <c r="S18" s="49"/>
      <c r="T18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8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19" spans="2:21" x14ac:dyDescent="0.25">
      <c r="B19" s="9">
        <v>12</v>
      </c>
      <c r="C19" s="10" t="s">
        <v>24</v>
      </c>
      <c r="D19" s="10" t="s">
        <v>54</v>
      </c>
      <c r="E19" s="63">
        <v>1125</v>
      </c>
      <c r="F19" s="9" t="s">
        <v>75</v>
      </c>
      <c r="G19" s="45"/>
      <c r="H19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19" s="46" t="b">
        <f>AND(Tbl_BONUS_02_LogicalFunctions_01[[#This Row],[Contractor Day Rate]]&gt;250,Tbl_BONUS_02_LogicalFunctions_01[[#This Row],[Contractor Day Rate]]&lt;750)</f>
        <v>0</v>
      </c>
      <c r="J19" s="45"/>
      <c r="K19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19" s="46" t="str">
        <f>IF(AND(Tbl_BONUS_02_LogicalFunctions_01[[#This Row],[Contractor Day Rate]]&gt;250,Tbl_BONUS_02_LogicalFunctions_01[[#This Row],[Contractor Day Rate]]&lt;750),"Y","N")</f>
        <v>N</v>
      </c>
      <c r="M19" s="49"/>
      <c r="N19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19" s="50" t="str">
        <f>IF(OR(Tbl_BONUS_02_LogicalFunctions_01[[#This Row],[Contractor Grade]]="A",Tbl_BONUS_02_LogicalFunctions_01[[#This Row],[Contractor Grade]]="B"),"Great","OK")</f>
        <v>OK</v>
      </c>
      <c r="P19" s="66"/>
      <c r="Q19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19" s="68" t="str">
        <f>IF(Tbl_BONUS_02_LogicalFunctions_01[[#This Row],[Contractor Grade]]="A","10% Discount",IF(Tbl_BONUS_02_LogicalFunctions_01[[#This Row],[Contractor Grade]]="B","5% Discount","No Discount"))</f>
        <v>No Discount</v>
      </c>
      <c r="S19" s="49"/>
      <c r="T19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19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20" spans="2:21" x14ac:dyDescent="0.25">
      <c r="B20" s="9">
        <v>13</v>
      </c>
      <c r="C20" s="10" t="s">
        <v>58</v>
      </c>
      <c r="D20" s="10" t="s">
        <v>42</v>
      </c>
      <c r="E20" s="63">
        <v>450</v>
      </c>
      <c r="F20" s="9" t="s">
        <v>77</v>
      </c>
      <c r="G20" s="45"/>
      <c r="H20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0" s="46" t="b">
        <f>AND(Tbl_BONUS_02_LogicalFunctions_01[[#This Row],[Contractor Day Rate]]&gt;250,Tbl_BONUS_02_LogicalFunctions_01[[#This Row],[Contractor Day Rate]]&lt;750)</f>
        <v>1</v>
      </c>
      <c r="J20" s="45"/>
      <c r="K20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0" s="46" t="str">
        <f>IF(AND(Tbl_BONUS_02_LogicalFunctions_01[[#This Row],[Contractor Day Rate]]&gt;250,Tbl_BONUS_02_LogicalFunctions_01[[#This Row],[Contractor Day Rate]]&lt;750),"Y","N")</f>
        <v>Y</v>
      </c>
      <c r="M20" s="49"/>
      <c r="N20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0" s="50" t="str">
        <f>IF(OR(Tbl_BONUS_02_LogicalFunctions_01[[#This Row],[Contractor Grade]]="A",Tbl_BONUS_02_LogicalFunctions_01[[#This Row],[Contractor Grade]]="B"),"Great","OK")</f>
        <v>Great</v>
      </c>
      <c r="P20" s="66"/>
      <c r="Q20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0" s="68" t="str">
        <f>IF(Tbl_BONUS_02_LogicalFunctions_01[[#This Row],[Contractor Grade]]="A","10% Discount",IF(Tbl_BONUS_02_LogicalFunctions_01[[#This Row],[Contractor Grade]]="B","5% Discount","No Discount"))</f>
        <v>10% Discount</v>
      </c>
      <c r="S20" s="49"/>
      <c r="T20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0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21" spans="2:21" x14ac:dyDescent="0.25">
      <c r="B21" s="9">
        <v>14</v>
      </c>
      <c r="C21" s="10" t="s">
        <v>24</v>
      </c>
      <c r="D21" s="10" t="s">
        <v>43</v>
      </c>
      <c r="E21" s="63">
        <v>750</v>
      </c>
      <c r="F21" s="9" t="s">
        <v>76</v>
      </c>
      <c r="G21" s="45"/>
      <c r="H21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1" s="46" t="b">
        <f>AND(Tbl_BONUS_02_LogicalFunctions_01[[#This Row],[Contractor Day Rate]]&gt;250,Tbl_BONUS_02_LogicalFunctions_01[[#This Row],[Contractor Day Rate]]&lt;750)</f>
        <v>0</v>
      </c>
      <c r="J21" s="45"/>
      <c r="K21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1" s="46" t="str">
        <f>IF(AND(Tbl_BONUS_02_LogicalFunctions_01[[#This Row],[Contractor Day Rate]]&gt;250,Tbl_BONUS_02_LogicalFunctions_01[[#This Row],[Contractor Day Rate]]&lt;750),"Y","N")</f>
        <v>N</v>
      </c>
      <c r="M21" s="49"/>
      <c r="N21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1" s="50" t="str">
        <f>IF(OR(Tbl_BONUS_02_LogicalFunctions_01[[#This Row],[Contractor Grade]]="A",Tbl_BONUS_02_LogicalFunctions_01[[#This Row],[Contractor Grade]]="B"),"Great","OK")</f>
        <v>OK</v>
      </c>
      <c r="P21" s="66"/>
      <c r="Q21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1" s="68" t="str">
        <f>IF(Tbl_BONUS_02_LogicalFunctions_01[[#This Row],[Contractor Grade]]="A","10% Discount",IF(Tbl_BONUS_02_LogicalFunctions_01[[#This Row],[Contractor Grade]]="B","5% Discount","No Discount"))</f>
        <v>No Discount</v>
      </c>
      <c r="S21" s="49"/>
      <c r="T21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1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22" spans="2:21" x14ac:dyDescent="0.25">
      <c r="B22" s="9">
        <v>15</v>
      </c>
      <c r="C22" s="10" t="s">
        <v>28</v>
      </c>
      <c r="D22" s="10" t="s">
        <v>55</v>
      </c>
      <c r="E22" s="63">
        <v>275</v>
      </c>
      <c r="F22" s="9" t="s">
        <v>76</v>
      </c>
      <c r="G22" s="45"/>
      <c r="H22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2" s="46" t="b">
        <f>AND(Tbl_BONUS_02_LogicalFunctions_01[[#This Row],[Contractor Day Rate]]&gt;250,Tbl_BONUS_02_LogicalFunctions_01[[#This Row],[Contractor Day Rate]]&lt;750)</f>
        <v>1</v>
      </c>
      <c r="J22" s="45"/>
      <c r="K22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2" s="46" t="str">
        <f>IF(AND(Tbl_BONUS_02_LogicalFunctions_01[[#This Row],[Contractor Day Rate]]&gt;250,Tbl_BONUS_02_LogicalFunctions_01[[#This Row],[Contractor Day Rate]]&lt;750),"Y","N")</f>
        <v>Y</v>
      </c>
      <c r="M22" s="49"/>
      <c r="N22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2" s="50" t="str">
        <f>IF(OR(Tbl_BONUS_02_LogicalFunctions_01[[#This Row],[Contractor Grade]]="A",Tbl_BONUS_02_LogicalFunctions_01[[#This Row],[Contractor Grade]]="B"),"Great","OK")</f>
        <v>OK</v>
      </c>
      <c r="P22" s="66"/>
      <c r="Q22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2" s="68" t="str">
        <f>IF(Tbl_BONUS_02_LogicalFunctions_01[[#This Row],[Contractor Grade]]="A","10% Discount",IF(Tbl_BONUS_02_LogicalFunctions_01[[#This Row],[Contractor Grade]]="B","5% Discount","No Discount"))</f>
        <v>No Discount</v>
      </c>
      <c r="S22" s="49"/>
      <c r="T22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2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23" spans="2:21" x14ac:dyDescent="0.25">
      <c r="B23" s="9">
        <v>16</v>
      </c>
      <c r="C23" s="10" t="s">
        <v>62</v>
      </c>
      <c r="D23" s="10" t="s">
        <v>56</v>
      </c>
      <c r="E23" s="63">
        <v>255</v>
      </c>
      <c r="F23" s="9" t="s">
        <v>76</v>
      </c>
      <c r="G23" s="45"/>
      <c r="H23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3" s="46" t="b">
        <f>AND(Tbl_BONUS_02_LogicalFunctions_01[[#This Row],[Contractor Day Rate]]&gt;250,Tbl_BONUS_02_LogicalFunctions_01[[#This Row],[Contractor Day Rate]]&lt;750)</f>
        <v>1</v>
      </c>
      <c r="J23" s="45"/>
      <c r="K23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3" s="46" t="str">
        <f>IF(AND(Tbl_BONUS_02_LogicalFunctions_01[[#This Row],[Contractor Day Rate]]&gt;250,Tbl_BONUS_02_LogicalFunctions_01[[#This Row],[Contractor Day Rate]]&lt;750),"Y","N")</f>
        <v>Y</v>
      </c>
      <c r="M23" s="49"/>
      <c r="N23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3" s="50" t="str">
        <f>IF(OR(Tbl_BONUS_02_LogicalFunctions_01[[#This Row],[Contractor Grade]]="A",Tbl_BONUS_02_LogicalFunctions_01[[#This Row],[Contractor Grade]]="B"),"Great","OK")</f>
        <v>OK</v>
      </c>
      <c r="P23" s="66"/>
      <c r="Q23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3" s="68" t="str">
        <f>IF(Tbl_BONUS_02_LogicalFunctions_01[[#This Row],[Contractor Grade]]="A","10% Discount",IF(Tbl_BONUS_02_LogicalFunctions_01[[#This Row],[Contractor Grade]]="B","5% Discount","No Discount"))</f>
        <v>No Discount</v>
      </c>
      <c r="S23" s="49"/>
      <c r="T23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3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24" spans="2:21" x14ac:dyDescent="0.25">
      <c r="B24" s="9">
        <v>17</v>
      </c>
      <c r="C24" s="10" t="s">
        <v>29</v>
      </c>
      <c r="D24" s="10" t="s">
        <v>44</v>
      </c>
      <c r="E24" s="63">
        <v>290</v>
      </c>
      <c r="F24" s="9" t="s">
        <v>74</v>
      </c>
      <c r="G24" s="45"/>
      <c r="H24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4" s="46" t="b">
        <f>AND(Tbl_BONUS_02_LogicalFunctions_01[[#This Row],[Contractor Day Rate]]&gt;250,Tbl_BONUS_02_LogicalFunctions_01[[#This Row],[Contractor Day Rate]]&lt;750)</f>
        <v>1</v>
      </c>
      <c r="J24" s="45"/>
      <c r="K24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4" s="46" t="str">
        <f>IF(AND(Tbl_BONUS_02_LogicalFunctions_01[[#This Row],[Contractor Day Rate]]&gt;250,Tbl_BONUS_02_LogicalFunctions_01[[#This Row],[Contractor Day Rate]]&lt;750),"Y","N")</f>
        <v>Y</v>
      </c>
      <c r="M24" s="49"/>
      <c r="N24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4" s="50" t="str">
        <f>IF(OR(Tbl_BONUS_02_LogicalFunctions_01[[#This Row],[Contractor Grade]]="A",Tbl_BONUS_02_LogicalFunctions_01[[#This Row],[Contractor Grade]]="B"),"Great","OK")</f>
        <v>Great</v>
      </c>
      <c r="P24" s="66"/>
      <c r="Q24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4" s="68" t="str">
        <f>IF(Tbl_BONUS_02_LogicalFunctions_01[[#This Row],[Contractor Grade]]="A","10% Discount",IF(Tbl_BONUS_02_LogicalFunctions_01[[#This Row],[Contractor Grade]]="B","5% Discount","No Discount"))</f>
        <v>5% Discount</v>
      </c>
      <c r="S24" s="49"/>
      <c r="T24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4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HIRE</v>
      </c>
    </row>
    <row r="25" spans="2:21" x14ac:dyDescent="0.25">
      <c r="B25" s="9">
        <v>18</v>
      </c>
      <c r="C25" s="10" t="s">
        <v>24</v>
      </c>
      <c r="D25" s="10" t="s">
        <v>45</v>
      </c>
      <c r="E25" s="63">
        <v>475</v>
      </c>
      <c r="F25" s="9" t="s">
        <v>74</v>
      </c>
      <c r="G25" s="45"/>
      <c r="H25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5" s="46" t="b">
        <f>AND(Tbl_BONUS_02_LogicalFunctions_01[[#This Row],[Contractor Day Rate]]&gt;250,Tbl_BONUS_02_LogicalFunctions_01[[#This Row],[Contractor Day Rate]]&lt;750)</f>
        <v>1</v>
      </c>
      <c r="J25" s="45"/>
      <c r="K25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5" s="46" t="str">
        <f>IF(AND(Tbl_BONUS_02_LogicalFunctions_01[[#This Row],[Contractor Day Rate]]&gt;250,Tbl_BONUS_02_LogicalFunctions_01[[#This Row],[Contractor Day Rate]]&lt;750),"Y","N")</f>
        <v>Y</v>
      </c>
      <c r="M25" s="49"/>
      <c r="N25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5" s="50" t="str">
        <f>IF(OR(Tbl_BONUS_02_LogicalFunctions_01[[#This Row],[Contractor Grade]]="A",Tbl_BONUS_02_LogicalFunctions_01[[#This Row],[Contractor Grade]]="B"),"Great","OK")</f>
        <v>Great</v>
      </c>
      <c r="P25" s="66"/>
      <c r="Q25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5" s="68" t="str">
        <f>IF(Tbl_BONUS_02_LogicalFunctions_01[[#This Row],[Contractor Grade]]="A","10% Discount",IF(Tbl_BONUS_02_LogicalFunctions_01[[#This Row],[Contractor Grade]]="B","5% Discount","No Discount"))</f>
        <v>5% Discount</v>
      </c>
      <c r="S25" s="49"/>
      <c r="T25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5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HIRE</v>
      </c>
    </row>
    <row r="26" spans="2:21" x14ac:dyDescent="0.25">
      <c r="B26" s="9">
        <v>19</v>
      </c>
      <c r="C26" s="10" t="s">
        <v>24</v>
      </c>
      <c r="D26" s="10" t="s">
        <v>46</v>
      </c>
      <c r="E26" s="63">
        <v>285</v>
      </c>
      <c r="F26" s="9" t="s">
        <v>74</v>
      </c>
      <c r="G26" s="45"/>
      <c r="H26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6" s="46" t="b">
        <f>AND(Tbl_BONUS_02_LogicalFunctions_01[[#This Row],[Contractor Day Rate]]&gt;250,Tbl_BONUS_02_LogicalFunctions_01[[#This Row],[Contractor Day Rate]]&lt;750)</f>
        <v>1</v>
      </c>
      <c r="J26" s="45"/>
      <c r="K26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6" s="46" t="str">
        <f>IF(AND(Tbl_BONUS_02_LogicalFunctions_01[[#This Row],[Contractor Day Rate]]&gt;250,Tbl_BONUS_02_LogicalFunctions_01[[#This Row],[Contractor Day Rate]]&lt;750),"Y","N")</f>
        <v>Y</v>
      </c>
      <c r="M26" s="49"/>
      <c r="N26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6" s="50" t="str">
        <f>IF(OR(Tbl_BONUS_02_LogicalFunctions_01[[#This Row],[Contractor Grade]]="A",Tbl_BONUS_02_LogicalFunctions_01[[#This Row],[Contractor Grade]]="B"),"Great","OK")</f>
        <v>Great</v>
      </c>
      <c r="P26" s="66"/>
      <c r="Q26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6" s="68" t="str">
        <f>IF(Tbl_BONUS_02_LogicalFunctions_01[[#This Row],[Contractor Grade]]="A","10% Discount",IF(Tbl_BONUS_02_LogicalFunctions_01[[#This Row],[Contractor Grade]]="B","5% Discount","No Discount"))</f>
        <v>5% Discount</v>
      </c>
      <c r="S26" s="49"/>
      <c r="T26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6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HIRE</v>
      </c>
    </row>
    <row r="27" spans="2:21" x14ac:dyDescent="0.25">
      <c r="B27" s="9">
        <v>20</v>
      </c>
      <c r="C27" s="10" t="s">
        <v>29</v>
      </c>
      <c r="D27" s="10" t="s">
        <v>47</v>
      </c>
      <c r="E27" s="63">
        <v>975</v>
      </c>
      <c r="F27" s="9" t="s">
        <v>74</v>
      </c>
      <c r="G27" s="45"/>
      <c r="H27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7" s="46" t="b">
        <f>AND(Tbl_BONUS_02_LogicalFunctions_01[[#This Row],[Contractor Day Rate]]&gt;250,Tbl_BONUS_02_LogicalFunctions_01[[#This Row],[Contractor Day Rate]]&lt;750)</f>
        <v>0</v>
      </c>
      <c r="J27" s="45"/>
      <c r="K27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7" s="46" t="str">
        <f>IF(AND(Tbl_BONUS_02_LogicalFunctions_01[[#This Row],[Contractor Day Rate]]&gt;250,Tbl_BONUS_02_LogicalFunctions_01[[#This Row],[Contractor Day Rate]]&lt;750),"Y","N")</f>
        <v>N</v>
      </c>
      <c r="M27" s="49"/>
      <c r="N27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7" s="50" t="str">
        <f>IF(OR(Tbl_BONUS_02_LogicalFunctions_01[[#This Row],[Contractor Grade]]="A",Tbl_BONUS_02_LogicalFunctions_01[[#This Row],[Contractor Grade]]="B"),"Great","OK")</f>
        <v>Great</v>
      </c>
      <c r="P27" s="66"/>
      <c r="Q27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7" s="68" t="str">
        <f>IF(Tbl_BONUS_02_LogicalFunctions_01[[#This Row],[Contractor Grade]]="A","10% Discount",IF(Tbl_BONUS_02_LogicalFunctions_01[[#This Row],[Contractor Grade]]="B","5% Discount","No Discount"))</f>
        <v>5% Discount</v>
      </c>
      <c r="S27" s="49"/>
      <c r="T27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7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28" spans="2:21" x14ac:dyDescent="0.25">
      <c r="B28" s="9">
        <v>21</v>
      </c>
      <c r="C28" s="10" t="s">
        <v>29</v>
      </c>
      <c r="D28" s="10" t="s">
        <v>48</v>
      </c>
      <c r="E28" s="63">
        <v>175</v>
      </c>
      <c r="F28" s="9" t="s">
        <v>74</v>
      </c>
      <c r="G28" s="45"/>
      <c r="H28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8" s="46" t="b">
        <f>AND(Tbl_BONUS_02_LogicalFunctions_01[[#This Row],[Contractor Day Rate]]&gt;250,Tbl_BONUS_02_LogicalFunctions_01[[#This Row],[Contractor Day Rate]]&lt;750)</f>
        <v>0</v>
      </c>
      <c r="J28" s="45"/>
      <c r="K28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8" s="46" t="str">
        <f>IF(AND(Tbl_BONUS_02_LogicalFunctions_01[[#This Row],[Contractor Day Rate]]&gt;250,Tbl_BONUS_02_LogicalFunctions_01[[#This Row],[Contractor Day Rate]]&lt;750),"Y","N")</f>
        <v>N</v>
      </c>
      <c r="M28" s="49"/>
      <c r="N28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8" s="50" t="str">
        <f>IF(OR(Tbl_BONUS_02_LogicalFunctions_01[[#This Row],[Contractor Grade]]="A",Tbl_BONUS_02_LogicalFunctions_01[[#This Row],[Contractor Grade]]="B"),"Great","OK")</f>
        <v>Great</v>
      </c>
      <c r="P28" s="66"/>
      <c r="Q28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8" s="68" t="str">
        <f>IF(Tbl_BONUS_02_LogicalFunctions_01[[#This Row],[Contractor Grade]]="A","10% Discount",IF(Tbl_BONUS_02_LogicalFunctions_01[[#This Row],[Contractor Grade]]="B","5% Discount","No Discount"))</f>
        <v>5% Discount</v>
      </c>
      <c r="S28" s="49"/>
      <c r="T28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8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HIRE</v>
      </c>
    </row>
    <row r="29" spans="2:21" x14ac:dyDescent="0.25">
      <c r="B29" s="9">
        <v>22</v>
      </c>
      <c r="C29" s="10" t="s">
        <v>24</v>
      </c>
      <c r="D29" s="10" t="s">
        <v>49</v>
      </c>
      <c r="E29" s="63">
        <v>980</v>
      </c>
      <c r="F29" s="9" t="s">
        <v>76</v>
      </c>
      <c r="G29" s="45"/>
      <c r="H29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29" s="46" t="b">
        <f>AND(Tbl_BONUS_02_LogicalFunctions_01[[#This Row],[Contractor Day Rate]]&gt;250,Tbl_BONUS_02_LogicalFunctions_01[[#This Row],[Contractor Day Rate]]&lt;750)</f>
        <v>0</v>
      </c>
      <c r="J29" s="45"/>
      <c r="K29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29" s="46" t="str">
        <f>IF(AND(Tbl_BONUS_02_LogicalFunctions_01[[#This Row],[Contractor Day Rate]]&gt;250,Tbl_BONUS_02_LogicalFunctions_01[[#This Row],[Contractor Day Rate]]&lt;750),"Y","N")</f>
        <v>N</v>
      </c>
      <c r="M29" s="49"/>
      <c r="N29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29" s="50" t="str">
        <f>IF(OR(Tbl_BONUS_02_LogicalFunctions_01[[#This Row],[Contractor Grade]]="A",Tbl_BONUS_02_LogicalFunctions_01[[#This Row],[Contractor Grade]]="B"),"Great","OK")</f>
        <v>OK</v>
      </c>
      <c r="P29" s="66"/>
      <c r="Q29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29" s="68" t="str">
        <f>IF(Tbl_BONUS_02_LogicalFunctions_01[[#This Row],[Contractor Grade]]="A","10% Discount",IF(Tbl_BONUS_02_LogicalFunctions_01[[#This Row],[Contractor Grade]]="B","5% Discount","No Discount"))</f>
        <v>No Discount</v>
      </c>
      <c r="S29" s="49"/>
      <c r="T29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29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  <row r="30" spans="2:21" x14ac:dyDescent="0.25">
      <c r="B30" s="9">
        <v>23</v>
      </c>
      <c r="C30" s="10" t="s">
        <v>24</v>
      </c>
      <c r="D30" s="10" t="s">
        <v>50</v>
      </c>
      <c r="E30" s="63">
        <v>700</v>
      </c>
      <c r="F30" s="9" t="s">
        <v>74</v>
      </c>
      <c r="G30" s="45"/>
      <c r="H30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30" s="46" t="b">
        <f>AND(Tbl_BONUS_02_LogicalFunctions_01[[#This Row],[Contractor Day Rate]]&gt;250,Tbl_BONUS_02_LogicalFunctions_01[[#This Row],[Contractor Day Rate]]&lt;750)</f>
        <v>1</v>
      </c>
      <c r="J30" s="45"/>
      <c r="K30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30" s="46" t="str">
        <f>IF(AND(Tbl_BONUS_02_LogicalFunctions_01[[#This Row],[Contractor Day Rate]]&gt;250,Tbl_BONUS_02_LogicalFunctions_01[[#This Row],[Contractor Day Rate]]&lt;750),"Y","N")</f>
        <v>Y</v>
      </c>
      <c r="M30" s="49"/>
      <c r="N30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30" s="50" t="str">
        <f>IF(OR(Tbl_BONUS_02_LogicalFunctions_01[[#This Row],[Contractor Grade]]="A",Tbl_BONUS_02_LogicalFunctions_01[[#This Row],[Contractor Grade]]="B"),"Great","OK")</f>
        <v>Great</v>
      </c>
      <c r="P30" s="66"/>
      <c r="Q30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30" s="68" t="str">
        <f>IF(Tbl_BONUS_02_LogicalFunctions_01[[#This Row],[Contractor Grade]]="A","10% Discount",IF(Tbl_BONUS_02_LogicalFunctions_01[[#This Row],[Contractor Grade]]="B","5% Discount","No Discount"))</f>
        <v>5% Discount</v>
      </c>
      <c r="S30" s="49"/>
      <c r="T30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30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HIRE</v>
      </c>
    </row>
    <row r="31" spans="2:21" x14ac:dyDescent="0.25">
      <c r="B31" s="9">
        <v>24</v>
      </c>
      <c r="C31" s="10" t="s">
        <v>24</v>
      </c>
      <c r="D31" s="10" t="s">
        <v>51</v>
      </c>
      <c r="E31" s="63">
        <v>285</v>
      </c>
      <c r="F31" s="9" t="s">
        <v>76</v>
      </c>
      <c r="G31" s="45"/>
      <c r="H31" s="16" t="str">
        <f>IFERROR(IF(Tbl_BONUS_02_LogicalFunctions_01[[#This Row],[Contractor Day Rate is Between 250 and 750 (TRUE/FALSE)]]="","",IF(AND(_xlfn.ISFORMULA(Tbl_BONUS_02_LogicalFunctions_01[[#This Row],[Contractor Day Rate is Between 250 and 750 (TRUE/FALSE)]]),EXACT(Tbl_BONUS_02_LogicalFunctions_01[[#This Row],[Contractor Day Rate is Between 250 and 750 (TRUE/FALSE)]],Tbl_BONUS_02_LogicalFunctions_01[[#This Row],[Contractor Day Rate is Between 250 and 750 (TRUE/FALSE) ANS]])),Rng_Lkp_AnswerStatus_Good,Rng_Lkp_AnswerStatus_Bad)),Rng_Lkp_AnswerStatus_Bad)</f>
        <v/>
      </c>
      <c r="I31" s="46" t="b">
        <f>AND(Tbl_BONUS_02_LogicalFunctions_01[[#This Row],[Contractor Day Rate]]&gt;250,Tbl_BONUS_02_LogicalFunctions_01[[#This Row],[Contractor Day Rate]]&lt;750)</f>
        <v>1</v>
      </c>
      <c r="J31" s="45"/>
      <c r="K31" s="16" t="str">
        <f>IFERROR(IF(Tbl_BONUS_02_LogicalFunctions_01[[#This Row],[Contractor Day Rate is Between 250 and 750 (Y/N)]]="","",IF(AND(_xlfn.ISFORMULA(Tbl_BONUS_02_LogicalFunctions_01[[#This Row],[Contractor Day Rate is Between 250 and 750 (Y/N)]]),EXACT(Tbl_BONUS_02_LogicalFunctions_01[[#This Row],[Contractor Day Rate is Between 250 and 750 (Y/N)]],Tbl_BONUS_02_LogicalFunctions_01[[#This Row],[Contractor Day Rate is Between 250 and 750 (Y/N) ANS]])),Rng_Lkp_AnswerStatus_Good,Rng_Lkp_AnswerStatus_Bad)),Rng_Lkp_AnswerStatus_Bad)</f>
        <v/>
      </c>
      <c r="L31" s="46" t="str">
        <f>IF(AND(Tbl_BONUS_02_LogicalFunctions_01[[#This Row],[Contractor Day Rate]]&gt;250,Tbl_BONUS_02_LogicalFunctions_01[[#This Row],[Contractor Day Rate]]&lt;750),"Y","N")</f>
        <v>Y</v>
      </c>
      <c r="M31" s="49"/>
      <c r="N31" s="16" t="str">
        <f>IFERROR(IF(Tbl_BONUS_02_LogicalFunctions_01[[#This Row],[If Grade A OR B, Then "Great", Otherwise "OK"]]="","",IF(AND(_xlfn.ISFORMULA(Tbl_BONUS_02_LogicalFunctions_01[[#This Row],[If Grade A OR B, Then "Great", Otherwise "OK"]]),EXACT(Tbl_BONUS_02_LogicalFunctions_01[[#This Row],[If Grade A OR B, Then "Great", Otherwise "OK"]],Tbl_BONUS_02_LogicalFunctions_01[[#This Row],[If Grade A OR B, Then "Great", Otherwise "OK" ANS]])),Rng_Lkp_AnswerStatus_Good,Rng_Lkp_AnswerStatus_Bad)),Rng_Lkp_AnswerStatus_Bad)</f>
        <v/>
      </c>
      <c r="O31" s="50" t="str">
        <f>IF(OR(Tbl_BONUS_02_LogicalFunctions_01[[#This Row],[Contractor Grade]]="A",Tbl_BONUS_02_LogicalFunctions_01[[#This Row],[Contractor Grade]]="B"),"Great","OK")</f>
        <v>OK</v>
      </c>
      <c r="P31" s="66"/>
      <c r="Q31" s="16" t="str">
        <f>IFERROR(IF(Tbl_BONUS_02_LogicalFunctions_01[[#This Row],[If Grade A Then "10% Discount", If Grade B Then "5% Discount", Otherwise "No Discount"]]="","",IF(AND(_xlfn.ISFORMULA(Tbl_BONUS_02_LogicalFunctions_01[[#This Row],[If Grade A Then "10% Discount", If Grade B Then "5% Discount", Otherwise "No Discount"]]),EXACT(Tbl_BONUS_02_LogicalFunctions_01[[#This Row],[If Grade A Then "10% Discount", If Grade B Then "5% Discount", Otherwise "No Discount"]],Tbl_BONUS_02_LogicalFunctions_01[[#This Row],[If Grade A Then "10% Discount", If Grade B Then "5% Discount", Otherwise "No Discount" ANS]])),Rng_Lkp_AnswerStatus_Good,Rng_Lkp_AnswerStatus_Bad)),Rng_Lkp_AnswerStatus_Bad)</f>
        <v/>
      </c>
      <c r="R31" s="68" t="str">
        <f>IF(Tbl_BONUS_02_LogicalFunctions_01[[#This Row],[Contractor Grade]]="A","10% Discount",IF(Tbl_BONUS_02_LogicalFunctions_01[[#This Row],[Contractor Grade]]="B","5% Discount","No Discount"))</f>
        <v>No Discount</v>
      </c>
      <c r="S31" s="49"/>
      <c r="T31" s="16" t="str">
        <f>IFERROR(IF(Tbl_BONUS_02_LogicalFunctions_01[[#This Row],[If Vendor is "Jig Is Up" Or "Cup Of Joe", And Grade is "A" or "B", And Contractor Hourly Rate is Less Than $800, Then "HIRE", Otherwise "DO NOT HIRE"]]="","",IF(AND(_xlfn.ISFORMULA(Tbl_BONUS_02_LogicalFunctions_01[[#This Row],[If Vendor is "Jig Is Up" Or "Cup Of Joe", And Grade is "A" or "B", And Contractor Hourly Rate is Less Than $800, Then "HIRE", Otherwise "DO NOT HIRE"]]),EXACT(Tbl_BONUS_02_LogicalFunctions_01[[#This Row],[If Vendor is "Jig Is Up" Or "Cup Of Joe", And Grade is "A" or "B", And Contractor Hourly Rate is Less Than $800, Then "HIRE", Otherwise "DO NOT HIRE"]],Tbl_BONUS_02_LogicalFunctions_01[[#This Row],[If Vendor is "Jig Is Up" Or "Cup Of Joe", And Grade is "A" or "B", And Contractor Hourly Rate is Less Than $800, Then "HIRE", Otherwise "DO NOT HIRE" ANS]])),Rng_Lkp_AnswerStatus_Good,Rng_Lkp_AnswerStatus_Bad)),Rng_Lkp_AnswerStatus_Bad)</f>
        <v/>
      </c>
      <c r="U31" s="52" t="str">
        <f>IF(AND(OR(Tbl_BONUS_02_LogicalFunctions_01[[#This Row],[Vendor Name]]="Jig Is Up",Tbl_BONUS_02_LogicalFunctions_01[[#This Row],[Vendor Name]]="Cup Of Joe"),OR(Tbl_BONUS_02_LogicalFunctions_01[[#This Row],[Contractor Grade]]="A",Tbl_BONUS_02_LogicalFunctions_01[[#This Row],[Contractor Grade]]="B"),Tbl_BONUS_02_LogicalFunctions_01[[#This Row],[Contractor Day Rate]]&lt;800),"HIRE","DO NOT HIRE")</f>
        <v>DO NOT HIRE</v>
      </c>
    </row>
  </sheetData>
  <conditionalFormatting sqref="B5:B6 H6 K6 N6 Q6 T6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U31">
    <cfRule type="cellIs" dxfId="1" priority="4" operator="equal">
      <formula>Rng_Lkp_AnswerStatus_Bad</formula>
    </cfRule>
    <cfRule type="cellIs" dxfId="0" priority="5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DF35-0A30-413F-8BF7-DD738587EA56}">
  <sheetPr>
    <tabColor theme="1"/>
  </sheetPr>
  <dimension ref="A1:C3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7.7109375" bestFit="1" customWidth="1"/>
    <col min="2" max="2" width="2.7109375" customWidth="1"/>
    <col min="3" max="3" width="4.140625" bestFit="1" customWidth="1"/>
  </cols>
  <sheetData>
    <row r="1" spans="1:3" s="32" customFormat="1" ht="30" x14ac:dyDescent="0.25">
      <c r="A1" s="31" t="s">
        <v>1</v>
      </c>
      <c r="C1" s="31" t="s">
        <v>16</v>
      </c>
    </row>
    <row r="2" spans="1:3" x14ac:dyDescent="0.25">
      <c r="A2" s="30" t="s">
        <v>2</v>
      </c>
      <c r="C2" s="30" t="s">
        <v>13</v>
      </c>
    </row>
    <row r="3" spans="1:3" x14ac:dyDescent="0.25">
      <c r="A3" s="13" t="s">
        <v>3</v>
      </c>
      <c r="C3" s="33" t="s">
        <v>14</v>
      </c>
    </row>
  </sheetData>
  <pageMargins left="0.7" right="0.7" top="0.75" bottom="0.75" header="0.3" footer="0.3"/>
  <pageSetup paperSize="121" orientation="portrait" horizontalDpi="300" vertic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Overview</vt:lpstr>
      <vt:lpstr>REF) Formula Fundamentals</vt:lpstr>
      <vt:lpstr>REF) Formula Fundamentals Print</vt:lpstr>
      <vt:lpstr>A1) Date &amp; Time Functions</vt:lpstr>
      <vt:lpstr>BONUS 1) Date &amp; Time Functions</vt:lpstr>
      <vt:lpstr>B2) Logical Functions</vt:lpstr>
      <vt:lpstr>BONUS 2) Logical Functions</vt:lpstr>
      <vt:lpstr>Lookup Values</vt:lpstr>
      <vt:lpstr>Rng_Lkp_AnswerStatus_Bad</vt:lpstr>
      <vt:lpstr>Rng_Lkp_AnswerStatus_Good</vt:lpstr>
      <vt:lpstr>Rng_Lkp_YN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 Aviv</dc:creator>
  <cp:lastModifiedBy>Shir Moscovitz</cp:lastModifiedBy>
  <dcterms:created xsi:type="dcterms:W3CDTF">2014-01-07T16:50:54Z</dcterms:created>
  <dcterms:modified xsi:type="dcterms:W3CDTF">2024-07-23T18:15:35Z</dcterms:modified>
</cp:coreProperties>
</file>