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drawings/drawing9.xml" ContentType="application/vnd.openxmlformats-officedocument.drawing+xml"/>
  <Override PartName="/xl/tables/table8.xml" ContentType="application/vnd.openxmlformats-officedocument.spreadsheetml.table+xml"/>
  <Override PartName="/xl/drawings/drawing10.xml" ContentType="application/vnd.openxmlformats-officedocument.drawing+xml"/>
  <Override PartName="/xl/tables/table9.xml" ContentType="application/vnd.openxmlformats-officedocument.spreadsheetml.table+xml"/>
  <Override PartName="/xl/drawings/drawing11.xml" ContentType="application/vnd.openxmlformats-officedocument.drawing+xml"/>
  <Override PartName="/xl/tables/table10.xml" ContentType="application/vnd.openxmlformats-officedocument.spreadsheetml.table+xml"/>
  <Override PartName="/xl/drawings/drawing12.xml" ContentType="application/vnd.openxmlformats-officedocument.drawing+xml"/>
  <Override PartName="/xl/tables/table11.xml" ContentType="application/vnd.openxmlformats-officedocument.spreadsheetml.table+xml"/>
  <Override PartName="/xl/drawings/drawing13.xml" ContentType="application/vnd.openxmlformats-officedocument.drawing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ware-host\Shared Folders\Documents\00Jobs\Corporate Training\Active Clients\JPRO\Specific Classes\2021_05 Excel Ignite\Training Materials\Blank Files\"/>
    </mc:Choice>
  </mc:AlternateContent>
  <xr:revisionPtr revIDLastSave="0" documentId="13_ncr:1_{AB0256F8-3264-45FF-B7AE-A3795BCA5091}" xr6:coauthVersionLast="46" xr6:coauthVersionMax="46" xr10:uidLastSave="{00000000-0000-0000-0000-000000000000}"/>
  <bookViews>
    <workbookView xWindow="-120" yWindow="-120" windowWidth="19440" windowHeight="10590" xr2:uid="{00000000-000D-0000-FFFF-FFFF00000000}"/>
  </bookViews>
  <sheets>
    <sheet name="Overview" sheetId="5" r:id="rId1"/>
    <sheet name="A1) Formula Elements Intro" sheetId="50" r:id="rId2"/>
    <sheet name="A1) Formula Elements Intro ANS" sheetId="43" state="hidden" r:id="rId3"/>
    <sheet name="A1) Formula Elements" sheetId="51" r:id="rId4"/>
    <sheet name="A1) Formula Elements ANS" sheetId="47" state="hidden" r:id="rId5"/>
    <sheet name="A2) Syntax" sheetId="52" r:id="rId6"/>
    <sheet name="A2) Syntax ANS" sheetId="48" state="hidden" r:id="rId7"/>
    <sheet name="B3) Placeholders" sheetId="53" r:id="rId8"/>
    <sheet name="B3) Placeholders ANS" sheetId="45" state="hidden" r:id="rId9"/>
    <sheet name="B4) Helper Columns" sheetId="54" r:id="rId10"/>
    <sheet name="B4) Helper Columns ANS" sheetId="42" state="hidden" r:id="rId11"/>
    <sheet name="B5) Help" sheetId="55" r:id="rId12"/>
    <sheet name="B5) Help ANS" sheetId="49" state="hidden" r:id="rId13"/>
    <sheet name="Lookup Values" sheetId="36" state="hidden" r:id="rId14"/>
  </sheets>
  <definedNames>
    <definedName name="Rng_Lkp_AnswerStatus_Bad">'Lookup Values'!$A$3</definedName>
    <definedName name="Rng_Lkp_AnswerStatus_Good">'Lookup Values'!$A$2</definedName>
    <definedName name="Rng_Lkp_FormulaElement">Tbl_Lkp_FormulaElement[Formula Element]</definedName>
    <definedName name="Rng_Lkp_YN">Tbl_Lkp_YN[YesNo]</definedName>
  </definedNames>
  <calcPr calcId="191029"/>
  <fileRecoveryPr autoRecover="0"/>
</workbook>
</file>

<file path=xl/calcChain.xml><?xml version="1.0" encoding="utf-8"?>
<calcChain xmlns="http://schemas.openxmlformats.org/spreadsheetml/2006/main">
  <c r="AB27" i="55" l="1"/>
  <c r="V27" i="55"/>
  <c r="P27" i="55"/>
  <c r="M27" i="55"/>
  <c r="J27" i="55"/>
  <c r="G27" i="55"/>
  <c r="AB26" i="55"/>
  <c r="V26" i="55"/>
  <c r="P26" i="55"/>
  <c r="M26" i="55"/>
  <c r="J26" i="55"/>
  <c r="G26" i="55"/>
  <c r="AB25" i="55"/>
  <c r="V25" i="55"/>
  <c r="P25" i="55"/>
  <c r="M25" i="55"/>
  <c r="J25" i="55"/>
  <c r="G25" i="55"/>
  <c r="AB24" i="55"/>
  <c r="V24" i="55"/>
  <c r="P24" i="55"/>
  <c r="M24" i="55"/>
  <c r="J24" i="55"/>
  <c r="G24" i="55"/>
  <c r="AB23" i="55"/>
  <c r="V23" i="55"/>
  <c r="P23" i="55"/>
  <c r="M23" i="55"/>
  <c r="J23" i="55"/>
  <c r="G23" i="55"/>
  <c r="AB22" i="55"/>
  <c r="V22" i="55"/>
  <c r="P22" i="55"/>
  <c r="M22" i="55"/>
  <c r="J22" i="55"/>
  <c r="G22" i="55"/>
  <c r="AB21" i="55"/>
  <c r="V21" i="55"/>
  <c r="P21" i="55"/>
  <c r="M21" i="55"/>
  <c r="J21" i="55"/>
  <c r="G21" i="55"/>
  <c r="AB20" i="55"/>
  <c r="V20" i="55"/>
  <c r="P20" i="55"/>
  <c r="M20" i="55"/>
  <c r="J20" i="55"/>
  <c r="G20" i="55"/>
  <c r="AB19" i="55"/>
  <c r="V19" i="55"/>
  <c r="P19" i="55"/>
  <c r="M19" i="55"/>
  <c r="J19" i="55"/>
  <c r="G19" i="55"/>
  <c r="AB18" i="55"/>
  <c r="V18" i="55"/>
  <c r="P18" i="55"/>
  <c r="M18" i="55"/>
  <c r="J18" i="55"/>
  <c r="G18" i="55"/>
  <c r="AB17" i="55"/>
  <c r="Y17" i="55"/>
  <c r="V17" i="55"/>
  <c r="S17" i="55"/>
  <c r="P17" i="55"/>
  <c r="M17" i="55"/>
  <c r="J17" i="55"/>
  <c r="G17" i="55"/>
  <c r="AB16" i="55"/>
  <c r="V16" i="55"/>
  <c r="P16" i="55"/>
  <c r="Y16" i="55"/>
  <c r="M16" i="55"/>
  <c r="J16" i="55"/>
  <c r="G16" i="55"/>
  <c r="S16" i="55"/>
  <c r="AB15" i="55"/>
  <c r="V15" i="55"/>
  <c r="P15" i="55"/>
  <c r="Y15" i="55"/>
  <c r="M15" i="55"/>
  <c r="J15" i="55"/>
  <c r="G15" i="55"/>
  <c r="S15" i="55"/>
  <c r="AB14" i="55"/>
  <c r="V14" i="55"/>
  <c r="P14" i="55"/>
  <c r="Y14" i="55"/>
  <c r="M14" i="55"/>
  <c r="J14" i="55"/>
  <c r="G14" i="55"/>
  <c r="S14" i="55"/>
  <c r="AB13" i="55"/>
  <c r="V13" i="55"/>
  <c r="P13" i="55"/>
  <c r="Y13" i="55"/>
  <c r="M13" i="55"/>
  <c r="J13" i="55"/>
  <c r="G13" i="55"/>
  <c r="S13" i="55"/>
  <c r="AB12" i="55"/>
  <c r="V12" i="55"/>
  <c r="P12" i="55"/>
  <c r="Y12" i="55"/>
  <c r="M12" i="55"/>
  <c r="J12" i="55"/>
  <c r="G12" i="55"/>
  <c r="S12" i="55"/>
  <c r="AB11" i="55"/>
  <c r="V11" i="55"/>
  <c r="P11" i="55"/>
  <c r="Y11" i="55"/>
  <c r="M11" i="55"/>
  <c r="J11" i="55"/>
  <c r="G11" i="55"/>
  <c r="S11" i="55"/>
  <c r="AB10" i="55"/>
  <c r="V10" i="55"/>
  <c r="P10" i="55"/>
  <c r="Y10" i="55"/>
  <c r="M10" i="55"/>
  <c r="J10" i="55"/>
  <c r="G10" i="55"/>
  <c r="S10" i="55"/>
  <c r="AB9" i="55"/>
  <c r="V9" i="55"/>
  <c r="P9" i="55"/>
  <c r="Y9" i="55"/>
  <c r="M9" i="55"/>
  <c r="J9" i="55"/>
  <c r="G9" i="55"/>
  <c r="S9" i="55"/>
  <c r="AB8" i="55"/>
  <c r="AB5" i="55" s="1"/>
  <c r="V8" i="55"/>
  <c r="P8" i="55"/>
  <c r="P5" i="55" s="1"/>
  <c r="M8" i="55"/>
  <c r="J8" i="55"/>
  <c r="G8" i="55"/>
  <c r="AC5" i="55"/>
  <c r="AA5" i="55"/>
  <c r="Z5" i="55"/>
  <c r="W5" i="55"/>
  <c r="U5" i="55"/>
  <c r="T5" i="55"/>
  <c r="Q5" i="55"/>
  <c r="O5" i="55"/>
  <c r="N5" i="55"/>
  <c r="L5" i="55"/>
  <c r="K5" i="55"/>
  <c r="J5" i="55"/>
  <c r="H5" i="55"/>
  <c r="F5" i="55"/>
  <c r="L27" i="54"/>
  <c r="I27" i="54"/>
  <c r="F27" i="54"/>
  <c r="L26" i="54"/>
  <c r="I26" i="54"/>
  <c r="F26" i="54"/>
  <c r="L25" i="54"/>
  <c r="I25" i="54"/>
  <c r="F25" i="54"/>
  <c r="L24" i="54"/>
  <c r="I24" i="54"/>
  <c r="F24" i="54"/>
  <c r="L23" i="54"/>
  <c r="I23" i="54"/>
  <c r="F23" i="54"/>
  <c r="L22" i="54"/>
  <c r="I22" i="54"/>
  <c r="F22" i="54"/>
  <c r="L21" i="54"/>
  <c r="I21" i="54"/>
  <c r="F21" i="54"/>
  <c r="L20" i="54"/>
  <c r="I20" i="54"/>
  <c r="F20" i="54"/>
  <c r="L19" i="54"/>
  <c r="I19" i="54"/>
  <c r="F19" i="54"/>
  <c r="L18" i="54"/>
  <c r="I18" i="54"/>
  <c r="F18" i="54"/>
  <c r="L17" i="54"/>
  <c r="I17" i="54"/>
  <c r="F17" i="54"/>
  <c r="L16" i="54"/>
  <c r="I16" i="54"/>
  <c r="F16" i="54"/>
  <c r="L15" i="54"/>
  <c r="I15" i="54"/>
  <c r="F15" i="54"/>
  <c r="L14" i="54"/>
  <c r="I14" i="54"/>
  <c r="F14" i="54"/>
  <c r="L13" i="54"/>
  <c r="I13" i="54"/>
  <c r="F13" i="54"/>
  <c r="L12" i="54"/>
  <c r="I12" i="54"/>
  <c r="F12" i="54"/>
  <c r="L11" i="54"/>
  <c r="I11" i="54"/>
  <c r="F11" i="54"/>
  <c r="L10" i="54"/>
  <c r="I10" i="54"/>
  <c r="F10" i="54"/>
  <c r="L9" i="54"/>
  <c r="I9" i="54"/>
  <c r="F9" i="54"/>
  <c r="I8" i="54"/>
  <c r="I5" i="54" s="1"/>
  <c r="F8" i="54"/>
  <c r="P5" i="54"/>
  <c r="M5" i="54"/>
  <c r="J5" i="54"/>
  <c r="G5" i="54"/>
  <c r="E5" i="54"/>
  <c r="I27" i="53"/>
  <c r="F27" i="53"/>
  <c r="I26" i="53"/>
  <c r="F26" i="53"/>
  <c r="I25" i="53"/>
  <c r="F25" i="53"/>
  <c r="I24" i="53"/>
  <c r="F24" i="53"/>
  <c r="I23" i="53"/>
  <c r="F23" i="53"/>
  <c r="I22" i="53"/>
  <c r="F22" i="53"/>
  <c r="I21" i="53"/>
  <c r="F21" i="53"/>
  <c r="I20" i="53"/>
  <c r="F20" i="53"/>
  <c r="I19" i="53"/>
  <c r="F19" i="53"/>
  <c r="I18" i="53"/>
  <c r="F18" i="53"/>
  <c r="I17" i="53"/>
  <c r="F17" i="53"/>
  <c r="I16" i="53"/>
  <c r="F16" i="53"/>
  <c r="I15" i="53"/>
  <c r="F15" i="53"/>
  <c r="I14" i="53"/>
  <c r="F14" i="53"/>
  <c r="I13" i="53"/>
  <c r="F13" i="53"/>
  <c r="I12" i="53"/>
  <c r="F12" i="53"/>
  <c r="I11" i="53"/>
  <c r="F11" i="53"/>
  <c r="I10" i="53"/>
  <c r="F10" i="53"/>
  <c r="I9" i="53"/>
  <c r="F9" i="53"/>
  <c r="I8" i="53"/>
  <c r="I5" i="53" s="1"/>
  <c r="F8" i="53"/>
  <c r="F5" i="53" s="1"/>
  <c r="J5" i="53"/>
  <c r="G5" i="53"/>
  <c r="V27" i="52"/>
  <c r="S27" i="52"/>
  <c r="P27" i="52"/>
  <c r="M27" i="52"/>
  <c r="J27" i="52"/>
  <c r="G27" i="52"/>
  <c r="V26" i="52"/>
  <c r="S26" i="52"/>
  <c r="P26" i="52"/>
  <c r="M26" i="52"/>
  <c r="J26" i="52"/>
  <c r="G26" i="52"/>
  <c r="V25" i="52"/>
  <c r="S25" i="52"/>
  <c r="P25" i="52"/>
  <c r="M25" i="52"/>
  <c r="J25" i="52"/>
  <c r="G25" i="52"/>
  <c r="V24" i="52"/>
  <c r="S24" i="52"/>
  <c r="P24" i="52"/>
  <c r="M24" i="52"/>
  <c r="J24" i="52"/>
  <c r="G24" i="52"/>
  <c r="V23" i="52"/>
  <c r="S23" i="52"/>
  <c r="P23" i="52"/>
  <c r="M23" i="52"/>
  <c r="J23" i="52"/>
  <c r="G23" i="52"/>
  <c r="V22" i="52"/>
  <c r="S22" i="52"/>
  <c r="P22" i="52"/>
  <c r="M22" i="52"/>
  <c r="J22" i="52"/>
  <c r="G22" i="52"/>
  <c r="V21" i="52"/>
  <c r="S21" i="52"/>
  <c r="P21" i="52"/>
  <c r="M21" i="52"/>
  <c r="J21" i="52"/>
  <c r="G21" i="52"/>
  <c r="V20" i="52"/>
  <c r="S20" i="52"/>
  <c r="P20" i="52"/>
  <c r="M20" i="52"/>
  <c r="J20" i="52"/>
  <c r="G20" i="52"/>
  <c r="V19" i="52"/>
  <c r="S19" i="52"/>
  <c r="P19" i="52"/>
  <c r="M19" i="52"/>
  <c r="J19" i="52"/>
  <c r="G19" i="52"/>
  <c r="V18" i="52"/>
  <c r="S18" i="52"/>
  <c r="P18" i="52"/>
  <c r="M18" i="52"/>
  <c r="J18" i="52"/>
  <c r="G18" i="52"/>
  <c r="V17" i="52"/>
  <c r="S17" i="52"/>
  <c r="P17" i="52"/>
  <c r="M17" i="52"/>
  <c r="J17" i="52"/>
  <c r="G17" i="52"/>
  <c r="V16" i="52"/>
  <c r="S16" i="52"/>
  <c r="P16" i="52"/>
  <c r="M16" i="52"/>
  <c r="J16" i="52"/>
  <c r="G16" i="52"/>
  <c r="V15" i="52"/>
  <c r="S15" i="52"/>
  <c r="P15" i="52"/>
  <c r="M15" i="52"/>
  <c r="J15" i="52"/>
  <c r="G15" i="52"/>
  <c r="V14" i="52"/>
  <c r="S14" i="52"/>
  <c r="P14" i="52"/>
  <c r="M14" i="52"/>
  <c r="J14" i="52"/>
  <c r="G14" i="52"/>
  <c r="V13" i="52"/>
  <c r="S13" i="52"/>
  <c r="P13" i="52"/>
  <c r="M13" i="52"/>
  <c r="J13" i="52"/>
  <c r="G13" i="52"/>
  <c r="V12" i="52"/>
  <c r="S12" i="52"/>
  <c r="P12" i="52"/>
  <c r="M12" i="52"/>
  <c r="J12" i="52"/>
  <c r="G12" i="52"/>
  <c r="V11" i="52"/>
  <c r="S11" i="52"/>
  <c r="P11" i="52"/>
  <c r="M11" i="52"/>
  <c r="J11" i="52"/>
  <c r="G11" i="52"/>
  <c r="V10" i="52"/>
  <c r="S10" i="52"/>
  <c r="P10" i="52"/>
  <c r="M10" i="52"/>
  <c r="J10" i="52"/>
  <c r="G10" i="52"/>
  <c r="V9" i="52"/>
  <c r="S9" i="52"/>
  <c r="P9" i="52"/>
  <c r="M9" i="52"/>
  <c r="J9" i="52"/>
  <c r="G9" i="52"/>
  <c r="V8" i="52"/>
  <c r="S8" i="52"/>
  <c r="P8" i="52"/>
  <c r="M8" i="52"/>
  <c r="J8" i="52"/>
  <c r="G8" i="52"/>
  <c r="W5" i="52"/>
  <c r="T5" i="52"/>
  <c r="Q5" i="52"/>
  <c r="N5" i="52"/>
  <c r="K5" i="52"/>
  <c r="H5" i="52"/>
  <c r="F5" i="52"/>
  <c r="N15" i="51"/>
  <c r="K15" i="51"/>
  <c r="H15" i="51"/>
  <c r="E15" i="51"/>
  <c r="B15" i="51"/>
  <c r="N14" i="51"/>
  <c r="K14" i="51"/>
  <c r="H14" i="51"/>
  <c r="E14" i="51"/>
  <c r="B14" i="51"/>
  <c r="N13" i="51"/>
  <c r="K13" i="51"/>
  <c r="H13" i="51"/>
  <c r="E13" i="51"/>
  <c r="B13" i="51"/>
  <c r="N12" i="51"/>
  <c r="K12" i="51"/>
  <c r="H12" i="51"/>
  <c r="E12" i="51"/>
  <c r="B12" i="51"/>
  <c r="N11" i="51"/>
  <c r="K11" i="51"/>
  <c r="H11" i="51"/>
  <c r="E11" i="51"/>
  <c r="B11" i="51"/>
  <c r="N10" i="51"/>
  <c r="K10" i="51"/>
  <c r="H10" i="51"/>
  <c r="E10" i="51"/>
  <c r="B10" i="51"/>
  <c r="N9" i="51"/>
  <c r="K9" i="51"/>
  <c r="H9" i="51"/>
  <c r="E9" i="51"/>
  <c r="B9" i="51"/>
  <c r="N8" i="51"/>
  <c r="K8" i="51"/>
  <c r="H8" i="51"/>
  <c r="E8" i="51"/>
  <c r="B8" i="51"/>
  <c r="O5" i="51"/>
  <c r="M5" i="51"/>
  <c r="L5" i="51"/>
  <c r="J5" i="51"/>
  <c r="I5" i="51"/>
  <c r="G5" i="51"/>
  <c r="F5" i="51"/>
  <c r="D5" i="51"/>
  <c r="E11" i="50"/>
  <c r="B11" i="50"/>
  <c r="E10" i="50"/>
  <c r="B10" i="50"/>
  <c r="E9" i="50"/>
  <c r="B9" i="50"/>
  <c r="E8" i="50"/>
  <c r="B8" i="50"/>
  <c r="F5" i="50"/>
  <c r="D5" i="50"/>
  <c r="AA8" i="49"/>
  <c r="AB8" i="49" s="1"/>
  <c r="AA9" i="49"/>
  <c r="AB9" i="49" s="1"/>
  <c r="AA10" i="49"/>
  <c r="AB10" i="49" s="1"/>
  <c r="AA11" i="49"/>
  <c r="AB11" i="49" s="1"/>
  <c r="AA12" i="49"/>
  <c r="AB12" i="49" s="1"/>
  <c r="AA13" i="49"/>
  <c r="AB13" i="49" s="1"/>
  <c r="AA14" i="49"/>
  <c r="AB14" i="49" s="1"/>
  <c r="AA15" i="49"/>
  <c r="AB15" i="49" s="1"/>
  <c r="AA16" i="49"/>
  <c r="AB16" i="49" s="1"/>
  <c r="AA17" i="49"/>
  <c r="AB17" i="49" s="1"/>
  <c r="AA18" i="49"/>
  <c r="AB18" i="49" s="1"/>
  <c r="AA19" i="49"/>
  <c r="AB19" i="49" s="1"/>
  <c r="AA20" i="49"/>
  <c r="AB20" i="49" s="1"/>
  <c r="AA21" i="49"/>
  <c r="AB21" i="49" s="1"/>
  <c r="AA22" i="49"/>
  <c r="AB22" i="49" s="1"/>
  <c r="AA23" i="49"/>
  <c r="AB23" i="49" s="1"/>
  <c r="AA24" i="49"/>
  <c r="AB24" i="49" s="1"/>
  <c r="AA25" i="49"/>
  <c r="AB25" i="49" s="1"/>
  <c r="AA26" i="49"/>
  <c r="AB26" i="49" s="1"/>
  <c r="AA27" i="49"/>
  <c r="AB27" i="49" s="1"/>
  <c r="O8" i="49"/>
  <c r="X8" i="49" s="1"/>
  <c r="Y8" i="49" s="1"/>
  <c r="O9" i="49"/>
  <c r="P9" i="49" s="1"/>
  <c r="O10" i="49"/>
  <c r="P10" i="49" s="1"/>
  <c r="O11" i="49"/>
  <c r="X11" i="49" s="1"/>
  <c r="Y11" i="49" s="1"/>
  <c r="O12" i="49"/>
  <c r="X12" i="49" s="1"/>
  <c r="Y12" i="49" s="1"/>
  <c r="O13" i="49"/>
  <c r="X13" i="49" s="1"/>
  <c r="Y13" i="49" s="1"/>
  <c r="O14" i="49"/>
  <c r="X14" i="49" s="1"/>
  <c r="Y14" i="49" s="1"/>
  <c r="O15" i="49"/>
  <c r="X15" i="49" s="1"/>
  <c r="Y15" i="49" s="1"/>
  <c r="O16" i="49"/>
  <c r="X16" i="49" s="1"/>
  <c r="Y16" i="49" s="1"/>
  <c r="O17" i="49"/>
  <c r="X17" i="49" s="1"/>
  <c r="Y17" i="49" s="1"/>
  <c r="O18" i="49"/>
  <c r="P18" i="49" s="1"/>
  <c r="O19" i="49"/>
  <c r="X19" i="49" s="1"/>
  <c r="Y19" i="49" s="1"/>
  <c r="O20" i="49"/>
  <c r="X20" i="49" s="1"/>
  <c r="Y20" i="49" s="1"/>
  <c r="O21" i="49"/>
  <c r="X21" i="49" s="1"/>
  <c r="Y21" i="49" s="1"/>
  <c r="O22" i="49"/>
  <c r="X22" i="49" s="1"/>
  <c r="Y22" i="49" s="1"/>
  <c r="O23" i="49"/>
  <c r="X23" i="49" s="1"/>
  <c r="Y23" i="49" s="1"/>
  <c r="O24" i="49"/>
  <c r="X24" i="49" s="1"/>
  <c r="Y24" i="49" s="1"/>
  <c r="O25" i="49"/>
  <c r="X25" i="49" s="1"/>
  <c r="Y25" i="49" s="1"/>
  <c r="O26" i="49"/>
  <c r="P26" i="49" s="1"/>
  <c r="O27" i="49"/>
  <c r="P27" i="49" s="1"/>
  <c r="X10" i="49"/>
  <c r="Y10" i="49" s="1"/>
  <c r="U8" i="49"/>
  <c r="U9" i="49"/>
  <c r="U10" i="49"/>
  <c r="U11" i="49"/>
  <c r="V11" i="49" s="1"/>
  <c r="U12" i="49"/>
  <c r="U13" i="49"/>
  <c r="V13" i="49" s="1"/>
  <c r="U14" i="49"/>
  <c r="U15" i="49"/>
  <c r="V15" i="49" s="1"/>
  <c r="U16" i="49"/>
  <c r="U17" i="49"/>
  <c r="V17" i="49" s="1"/>
  <c r="U18" i="49"/>
  <c r="U19" i="49"/>
  <c r="U20" i="49"/>
  <c r="U21" i="49"/>
  <c r="V21" i="49" s="1"/>
  <c r="U22" i="49"/>
  <c r="U23" i="49"/>
  <c r="V23" i="49" s="1"/>
  <c r="U24" i="49"/>
  <c r="U25" i="49"/>
  <c r="V25" i="49" s="1"/>
  <c r="U26" i="49"/>
  <c r="U27" i="49"/>
  <c r="V27" i="49" s="1"/>
  <c r="P22" i="49"/>
  <c r="L8" i="49"/>
  <c r="M8" i="49" s="1"/>
  <c r="L9" i="49"/>
  <c r="M9" i="49" s="1"/>
  <c r="L10" i="49"/>
  <c r="L11" i="49"/>
  <c r="M11" i="49" s="1"/>
  <c r="L12" i="49"/>
  <c r="L13" i="49"/>
  <c r="M13" i="49" s="1"/>
  <c r="L14" i="49"/>
  <c r="M14" i="49" s="1"/>
  <c r="L15" i="49"/>
  <c r="M15" i="49" s="1"/>
  <c r="L16" i="49"/>
  <c r="M16" i="49" s="1"/>
  <c r="L17" i="49"/>
  <c r="M17" i="49" s="1"/>
  <c r="L18" i="49"/>
  <c r="L19" i="49"/>
  <c r="M19" i="49" s="1"/>
  <c r="L20" i="49"/>
  <c r="L21" i="49"/>
  <c r="M21" i="49" s="1"/>
  <c r="L22" i="49"/>
  <c r="M22" i="49" s="1"/>
  <c r="L23" i="49"/>
  <c r="M23" i="49" s="1"/>
  <c r="L24" i="49"/>
  <c r="M24" i="49" s="1"/>
  <c r="L25" i="49"/>
  <c r="M25" i="49" s="1"/>
  <c r="L26" i="49"/>
  <c r="L27" i="49"/>
  <c r="M27" i="49" s="1"/>
  <c r="I8" i="49"/>
  <c r="J8" i="49" s="1"/>
  <c r="I9" i="49"/>
  <c r="I10" i="49"/>
  <c r="J10" i="49" s="1"/>
  <c r="I11" i="49"/>
  <c r="I12" i="49"/>
  <c r="J12" i="49" s="1"/>
  <c r="I13" i="49"/>
  <c r="I14" i="49"/>
  <c r="J14" i="49" s="1"/>
  <c r="I15" i="49"/>
  <c r="I16" i="49"/>
  <c r="J16" i="49" s="1"/>
  <c r="I17" i="49"/>
  <c r="J17" i="49" s="1"/>
  <c r="I18" i="49"/>
  <c r="J18" i="49" s="1"/>
  <c r="I19" i="49"/>
  <c r="I20" i="49"/>
  <c r="J20" i="49" s="1"/>
  <c r="I21" i="49"/>
  <c r="I22" i="49"/>
  <c r="J22" i="49" s="1"/>
  <c r="I23" i="49"/>
  <c r="I24" i="49"/>
  <c r="J24" i="49" s="1"/>
  <c r="I25" i="49"/>
  <c r="J25" i="49" s="1"/>
  <c r="I26" i="49"/>
  <c r="J26" i="49" s="1"/>
  <c r="I27" i="49"/>
  <c r="F8" i="49"/>
  <c r="F9" i="49"/>
  <c r="F10" i="49"/>
  <c r="F11" i="49"/>
  <c r="G11" i="49" s="1"/>
  <c r="F12" i="49"/>
  <c r="F13" i="49"/>
  <c r="G13" i="49" s="1"/>
  <c r="F14" i="49"/>
  <c r="F15" i="49"/>
  <c r="F16" i="49"/>
  <c r="F17" i="49"/>
  <c r="F18" i="49"/>
  <c r="F19" i="49"/>
  <c r="G19" i="49" s="1"/>
  <c r="F20" i="49"/>
  <c r="F21" i="49"/>
  <c r="G21" i="49" s="1"/>
  <c r="F22" i="49"/>
  <c r="F23" i="49"/>
  <c r="F24" i="49"/>
  <c r="F25" i="49"/>
  <c r="F26" i="49"/>
  <c r="F27" i="49"/>
  <c r="G27" i="49" s="1"/>
  <c r="AC5" i="49"/>
  <c r="Z5" i="49"/>
  <c r="G8" i="49"/>
  <c r="G9" i="49"/>
  <c r="G10" i="49"/>
  <c r="M10" i="49"/>
  <c r="P11" i="49"/>
  <c r="G12" i="49"/>
  <c r="M12" i="49"/>
  <c r="J13" i="49"/>
  <c r="G14" i="49"/>
  <c r="G15" i="49"/>
  <c r="G16" i="49"/>
  <c r="G17" i="49"/>
  <c r="P17" i="49"/>
  <c r="G18" i="49"/>
  <c r="M18" i="49"/>
  <c r="P19" i="49"/>
  <c r="G20" i="49"/>
  <c r="M20" i="49"/>
  <c r="J21" i="49"/>
  <c r="G22" i="49"/>
  <c r="G23" i="49"/>
  <c r="G24" i="49"/>
  <c r="G25" i="49"/>
  <c r="P25" i="49"/>
  <c r="G26" i="49"/>
  <c r="M26" i="49"/>
  <c r="W5" i="49"/>
  <c r="T5" i="49"/>
  <c r="Q5" i="49"/>
  <c r="N5" i="49"/>
  <c r="K5" i="49"/>
  <c r="H5" i="49"/>
  <c r="H8" i="45"/>
  <c r="H9" i="45"/>
  <c r="H10" i="45"/>
  <c r="H11" i="45"/>
  <c r="H12" i="45"/>
  <c r="H13" i="45"/>
  <c r="H14" i="45"/>
  <c r="H15" i="45"/>
  <c r="H16" i="45"/>
  <c r="H17" i="45"/>
  <c r="H18" i="45"/>
  <c r="H19" i="45"/>
  <c r="H20" i="45"/>
  <c r="H21" i="45"/>
  <c r="H22" i="45"/>
  <c r="H23" i="45"/>
  <c r="H24" i="45"/>
  <c r="H25" i="45"/>
  <c r="H26" i="45"/>
  <c r="H27" i="45"/>
  <c r="E8" i="45"/>
  <c r="E9" i="45"/>
  <c r="F9" i="45" s="1"/>
  <c r="E10" i="45"/>
  <c r="F10" i="45" s="1"/>
  <c r="E11" i="45"/>
  <c r="F11" i="45" s="1"/>
  <c r="E12" i="45"/>
  <c r="F12" i="45" s="1"/>
  <c r="E13" i="45"/>
  <c r="F13" i="45" s="1"/>
  <c r="E14" i="45"/>
  <c r="F14" i="45" s="1"/>
  <c r="E15" i="45"/>
  <c r="F15" i="45" s="1"/>
  <c r="E16" i="45"/>
  <c r="E17" i="45"/>
  <c r="F17" i="45" s="1"/>
  <c r="E18" i="45"/>
  <c r="F18" i="45" s="1"/>
  <c r="E19" i="45"/>
  <c r="F19" i="45" s="1"/>
  <c r="E20" i="45"/>
  <c r="F20" i="45" s="1"/>
  <c r="E21" i="45"/>
  <c r="F21" i="45" s="1"/>
  <c r="E22" i="45"/>
  <c r="F22" i="45" s="1"/>
  <c r="E23" i="45"/>
  <c r="F23" i="45" s="1"/>
  <c r="E24" i="45"/>
  <c r="E25" i="45"/>
  <c r="F25" i="45" s="1"/>
  <c r="E26" i="45"/>
  <c r="F26" i="45" s="1"/>
  <c r="E27" i="45"/>
  <c r="F27" i="45" s="1"/>
  <c r="J5" i="45"/>
  <c r="G5" i="45"/>
  <c r="V19" i="49"/>
  <c r="U8" i="48"/>
  <c r="V8" i="48" s="1"/>
  <c r="U9" i="48"/>
  <c r="V9" i="48" s="1"/>
  <c r="U10" i="48"/>
  <c r="V10" i="48" s="1"/>
  <c r="U11" i="48"/>
  <c r="V11" i="48" s="1"/>
  <c r="U12" i="48"/>
  <c r="V12" i="48" s="1"/>
  <c r="U13" i="48"/>
  <c r="V13" i="48" s="1"/>
  <c r="U14" i="48"/>
  <c r="V14" i="48" s="1"/>
  <c r="U15" i="48"/>
  <c r="V15" i="48" s="1"/>
  <c r="U16" i="48"/>
  <c r="V16" i="48" s="1"/>
  <c r="U17" i="48"/>
  <c r="V17" i="48" s="1"/>
  <c r="U18" i="48"/>
  <c r="V18" i="48" s="1"/>
  <c r="U19" i="48"/>
  <c r="V19" i="48" s="1"/>
  <c r="U20" i="48"/>
  <c r="V20" i="48" s="1"/>
  <c r="U21" i="48"/>
  <c r="V21" i="48" s="1"/>
  <c r="U22" i="48"/>
  <c r="V22" i="48" s="1"/>
  <c r="U23" i="48"/>
  <c r="V23" i="48" s="1"/>
  <c r="U24" i="48"/>
  <c r="V24" i="48" s="1"/>
  <c r="U25" i="48"/>
  <c r="V25" i="48" s="1"/>
  <c r="U26" i="48"/>
  <c r="V26" i="48" s="1"/>
  <c r="U27" i="48"/>
  <c r="V27" i="48" s="1"/>
  <c r="R8" i="48"/>
  <c r="S8" i="48" s="1"/>
  <c r="R9" i="48"/>
  <c r="S9" i="48" s="1"/>
  <c r="R10" i="48"/>
  <c r="S10" i="48" s="1"/>
  <c r="R11" i="48"/>
  <c r="S11" i="48" s="1"/>
  <c r="R12" i="48"/>
  <c r="S12" i="48" s="1"/>
  <c r="R13" i="48"/>
  <c r="S13" i="48" s="1"/>
  <c r="R14" i="48"/>
  <c r="S14" i="48" s="1"/>
  <c r="R15" i="48"/>
  <c r="S15" i="48" s="1"/>
  <c r="R16" i="48"/>
  <c r="S16" i="48" s="1"/>
  <c r="R17" i="48"/>
  <c r="S17" i="48" s="1"/>
  <c r="R18" i="48"/>
  <c r="S18" i="48" s="1"/>
  <c r="R19" i="48"/>
  <c r="S19" i="48" s="1"/>
  <c r="R20" i="48"/>
  <c r="S20" i="48" s="1"/>
  <c r="R21" i="48"/>
  <c r="S21" i="48" s="1"/>
  <c r="R22" i="48"/>
  <c r="S22" i="48" s="1"/>
  <c r="R23" i="48"/>
  <c r="S23" i="48" s="1"/>
  <c r="R24" i="48"/>
  <c r="S24" i="48" s="1"/>
  <c r="R25" i="48"/>
  <c r="S25" i="48" s="1"/>
  <c r="R26" i="48"/>
  <c r="S26" i="48" s="1"/>
  <c r="R27" i="48"/>
  <c r="S27" i="48" s="1"/>
  <c r="O8" i="48"/>
  <c r="P8" i="48" s="1"/>
  <c r="O9" i="48"/>
  <c r="P9" i="48" s="1"/>
  <c r="O10" i="48"/>
  <c r="P10" i="48" s="1"/>
  <c r="O11" i="48"/>
  <c r="P11" i="48" s="1"/>
  <c r="O12" i="48"/>
  <c r="P12" i="48" s="1"/>
  <c r="O13" i="48"/>
  <c r="P13" i="48" s="1"/>
  <c r="O14" i="48"/>
  <c r="P14" i="48" s="1"/>
  <c r="O15" i="48"/>
  <c r="P15" i="48" s="1"/>
  <c r="O16" i="48"/>
  <c r="P16" i="48" s="1"/>
  <c r="O17" i="48"/>
  <c r="P17" i="48" s="1"/>
  <c r="O18" i="48"/>
  <c r="P18" i="48" s="1"/>
  <c r="O19" i="48"/>
  <c r="P19" i="48" s="1"/>
  <c r="O20" i="48"/>
  <c r="P20" i="48" s="1"/>
  <c r="O21" i="48"/>
  <c r="P21" i="48" s="1"/>
  <c r="O22" i="48"/>
  <c r="P22" i="48" s="1"/>
  <c r="O23" i="48"/>
  <c r="P23" i="48" s="1"/>
  <c r="O24" i="48"/>
  <c r="P24" i="48" s="1"/>
  <c r="O25" i="48"/>
  <c r="P25" i="48" s="1"/>
  <c r="O26" i="48"/>
  <c r="P26" i="48" s="1"/>
  <c r="O27" i="48"/>
  <c r="P27" i="48" s="1"/>
  <c r="W5" i="48"/>
  <c r="L8" i="48"/>
  <c r="M8" i="48" s="1"/>
  <c r="L9" i="48"/>
  <c r="M9" i="48" s="1"/>
  <c r="L10" i="48"/>
  <c r="M10" i="48" s="1"/>
  <c r="L11" i="48"/>
  <c r="M11" i="48" s="1"/>
  <c r="L12" i="48"/>
  <c r="M12" i="48" s="1"/>
  <c r="L13" i="48"/>
  <c r="M13" i="48" s="1"/>
  <c r="L14" i="48"/>
  <c r="M14" i="48" s="1"/>
  <c r="L15" i="48"/>
  <c r="M15" i="48" s="1"/>
  <c r="L16" i="48"/>
  <c r="M16" i="48" s="1"/>
  <c r="L17" i="48"/>
  <c r="M17" i="48" s="1"/>
  <c r="L18" i="48"/>
  <c r="M18" i="48" s="1"/>
  <c r="L19" i="48"/>
  <c r="M19" i="48" s="1"/>
  <c r="L20" i="48"/>
  <c r="M20" i="48" s="1"/>
  <c r="L21" i="48"/>
  <c r="M21" i="48" s="1"/>
  <c r="L22" i="48"/>
  <c r="M22" i="48" s="1"/>
  <c r="L23" i="48"/>
  <c r="M23" i="48" s="1"/>
  <c r="L24" i="48"/>
  <c r="L25" i="48"/>
  <c r="M25" i="48" s="1"/>
  <c r="L26" i="48"/>
  <c r="M26" i="48" s="1"/>
  <c r="L27" i="48"/>
  <c r="M27" i="48" s="1"/>
  <c r="I8" i="48"/>
  <c r="J8" i="48" s="1"/>
  <c r="I9" i="48"/>
  <c r="J9" i="48" s="1"/>
  <c r="I10" i="48"/>
  <c r="J10" i="48" s="1"/>
  <c r="I11" i="48"/>
  <c r="J11" i="48" s="1"/>
  <c r="I12" i="48"/>
  <c r="J12" i="48" s="1"/>
  <c r="I13" i="48"/>
  <c r="J13" i="48" s="1"/>
  <c r="I14" i="48"/>
  <c r="J14" i="48" s="1"/>
  <c r="I15" i="48"/>
  <c r="J15" i="48" s="1"/>
  <c r="I16" i="48"/>
  <c r="J16" i="48" s="1"/>
  <c r="I17" i="48"/>
  <c r="J17" i="48" s="1"/>
  <c r="I18" i="48"/>
  <c r="J18" i="48" s="1"/>
  <c r="I19" i="48"/>
  <c r="J19" i="48" s="1"/>
  <c r="I20" i="48"/>
  <c r="J20" i="48" s="1"/>
  <c r="I21" i="48"/>
  <c r="J21" i="48" s="1"/>
  <c r="I22" i="48"/>
  <c r="J22" i="48" s="1"/>
  <c r="I23" i="48"/>
  <c r="J23" i="48" s="1"/>
  <c r="I24" i="48"/>
  <c r="J24" i="48" s="1"/>
  <c r="I25" i="48"/>
  <c r="J25" i="48" s="1"/>
  <c r="I26" i="48"/>
  <c r="J26" i="48" s="1"/>
  <c r="I27" i="48"/>
  <c r="J27" i="48" s="1"/>
  <c r="F8" i="48"/>
  <c r="G8" i="48" s="1"/>
  <c r="F9" i="48"/>
  <c r="G9" i="48" s="1"/>
  <c r="F10" i="48"/>
  <c r="G10" i="48" s="1"/>
  <c r="F11" i="48"/>
  <c r="G11" i="48" s="1"/>
  <c r="F12" i="48"/>
  <c r="G12" i="48" s="1"/>
  <c r="F13" i="48"/>
  <c r="G13" i="48" s="1"/>
  <c r="F14" i="48"/>
  <c r="G14" i="48" s="1"/>
  <c r="F15" i="48"/>
  <c r="G15" i="48" s="1"/>
  <c r="F16" i="48"/>
  <c r="G16" i="48" s="1"/>
  <c r="F17" i="48"/>
  <c r="G17" i="48" s="1"/>
  <c r="F18" i="48"/>
  <c r="G18" i="48" s="1"/>
  <c r="F19" i="48"/>
  <c r="G19" i="48" s="1"/>
  <c r="F20" i="48"/>
  <c r="G20" i="48" s="1"/>
  <c r="F21" i="48"/>
  <c r="G21" i="48" s="1"/>
  <c r="F22" i="48"/>
  <c r="G22" i="48" s="1"/>
  <c r="F23" i="48"/>
  <c r="G23" i="48" s="1"/>
  <c r="F24" i="48"/>
  <c r="G24" i="48" s="1"/>
  <c r="F25" i="48"/>
  <c r="G25" i="48" s="1"/>
  <c r="F26" i="48"/>
  <c r="G26" i="48" s="1"/>
  <c r="F27" i="48"/>
  <c r="G27" i="48" s="1"/>
  <c r="T5" i="48"/>
  <c r="Q5" i="48"/>
  <c r="N5" i="48"/>
  <c r="K5" i="48"/>
  <c r="H5" i="48"/>
  <c r="M24" i="48"/>
  <c r="E9" i="42"/>
  <c r="F9" i="42" s="1"/>
  <c r="P5" i="42"/>
  <c r="M5" i="42"/>
  <c r="J5" i="42"/>
  <c r="G5" i="42"/>
  <c r="N8" i="47"/>
  <c r="N9" i="47"/>
  <c r="N10" i="47"/>
  <c r="N11" i="47"/>
  <c r="N12" i="47"/>
  <c r="N13" i="47"/>
  <c r="N14" i="47"/>
  <c r="N15" i="47"/>
  <c r="O5" i="47"/>
  <c r="M5" i="47"/>
  <c r="K8" i="47"/>
  <c r="K9" i="47"/>
  <c r="K10" i="47"/>
  <c r="K11" i="47"/>
  <c r="K12" i="47"/>
  <c r="K13" i="47"/>
  <c r="K14" i="47"/>
  <c r="K15" i="47"/>
  <c r="L5" i="47"/>
  <c r="J5" i="47"/>
  <c r="I5" i="47"/>
  <c r="G5" i="47"/>
  <c r="F5" i="47"/>
  <c r="D5" i="47"/>
  <c r="F5" i="43"/>
  <c r="D5" i="43"/>
  <c r="H8" i="47"/>
  <c r="H9" i="47"/>
  <c r="H10" i="47"/>
  <c r="H11" i="47"/>
  <c r="H12" i="47"/>
  <c r="H13" i="47"/>
  <c r="H14" i="47"/>
  <c r="H15" i="47"/>
  <c r="E15" i="47"/>
  <c r="B15" i="47"/>
  <c r="E14" i="47"/>
  <c r="B14" i="47"/>
  <c r="E13" i="47"/>
  <c r="B13" i="47"/>
  <c r="E12" i="47"/>
  <c r="B12" i="47"/>
  <c r="E11" i="47"/>
  <c r="B11" i="47"/>
  <c r="E10" i="47"/>
  <c r="B10" i="47"/>
  <c r="E9" i="47"/>
  <c r="B9" i="47"/>
  <c r="E8" i="47"/>
  <c r="B8" i="47"/>
  <c r="B8" i="43"/>
  <c r="E8" i="43"/>
  <c r="E9" i="43"/>
  <c r="E10" i="43"/>
  <c r="E11" i="43"/>
  <c r="B9" i="43"/>
  <c r="B10" i="43"/>
  <c r="B11" i="43"/>
  <c r="F24" i="45"/>
  <c r="F16" i="45"/>
  <c r="F8" i="45"/>
  <c r="K27" i="42"/>
  <c r="L27" i="42" s="1"/>
  <c r="H27" i="42"/>
  <c r="I27" i="42" s="1"/>
  <c r="E27" i="42"/>
  <c r="F27" i="42" s="1"/>
  <c r="K26" i="42"/>
  <c r="L26" i="42" s="1"/>
  <c r="H26" i="42"/>
  <c r="I26" i="42" s="1"/>
  <c r="E26" i="42"/>
  <c r="F26" i="42" s="1"/>
  <c r="K25" i="42"/>
  <c r="L25" i="42" s="1"/>
  <c r="H25" i="42"/>
  <c r="I25" i="42" s="1"/>
  <c r="E25" i="42"/>
  <c r="F25" i="42" s="1"/>
  <c r="K24" i="42"/>
  <c r="L24" i="42" s="1"/>
  <c r="H24" i="42"/>
  <c r="I24" i="42" s="1"/>
  <c r="E24" i="42"/>
  <c r="F24" i="42" s="1"/>
  <c r="K23" i="42"/>
  <c r="L23" i="42" s="1"/>
  <c r="H23" i="42"/>
  <c r="I23" i="42" s="1"/>
  <c r="E23" i="42"/>
  <c r="F23" i="42" s="1"/>
  <c r="K22" i="42"/>
  <c r="L22" i="42" s="1"/>
  <c r="H22" i="42"/>
  <c r="I22" i="42" s="1"/>
  <c r="E22" i="42"/>
  <c r="F22" i="42" s="1"/>
  <c r="K21" i="42"/>
  <c r="L21" i="42" s="1"/>
  <c r="H21" i="42"/>
  <c r="I21" i="42" s="1"/>
  <c r="E21" i="42"/>
  <c r="F21" i="42" s="1"/>
  <c r="K20" i="42"/>
  <c r="L20" i="42" s="1"/>
  <c r="H20" i="42"/>
  <c r="I20" i="42" s="1"/>
  <c r="E20" i="42"/>
  <c r="F20" i="42" s="1"/>
  <c r="K19" i="42"/>
  <c r="L19" i="42" s="1"/>
  <c r="H19" i="42"/>
  <c r="I19" i="42" s="1"/>
  <c r="E19" i="42"/>
  <c r="F19" i="42" s="1"/>
  <c r="K18" i="42"/>
  <c r="L18" i="42" s="1"/>
  <c r="H18" i="42"/>
  <c r="I18" i="42" s="1"/>
  <c r="E18" i="42"/>
  <c r="F18" i="42" s="1"/>
  <c r="K17" i="42"/>
  <c r="L17" i="42" s="1"/>
  <c r="H17" i="42"/>
  <c r="I17" i="42" s="1"/>
  <c r="E17" i="42"/>
  <c r="F17" i="42" s="1"/>
  <c r="K16" i="42"/>
  <c r="L16" i="42" s="1"/>
  <c r="H16" i="42"/>
  <c r="I16" i="42" s="1"/>
  <c r="E16" i="42"/>
  <c r="F16" i="42" s="1"/>
  <c r="K15" i="42"/>
  <c r="L15" i="42" s="1"/>
  <c r="H15" i="42"/>
  <c r="I15" i="42" s="1"/>
  <c r="E15" i="42"/>
  <c r="F15" i="42" s="1"/>
  <c r="K14" i="42"/>
  <c r="L14" i="42" s="1"/>
  <c r="H14" i="42"/>
  <c r="I14" i="42" s="1"/>
  <c r="E14" i="42"/>
  <c r="F14" i="42" s="1"/>
  <c r="K13" i="42"/>
  <c r="L13" i="42" s="1"/>
  <c r="H13" i="42"/>
  <c r="I13" i="42" s="1"/>
  <c r="E13" i="42"/>
  <c r="F13" i="42" s="1"/>
  <c r="K12" i="42"/>
  <c r="L12" i="42" s="1"/>
  <c r="H12" i="42"/>
  <c r="I12" i="42" s="1"/>
  <c r="E12" i="42"/>
  <c r="F12" i="42" s="1"/>
  <c r="K11" i="42"/>
  <c r="L11" i="42" s="1"/>
  <c r="H11" i="42"/>
  <c r="I11" i="42" s="1"/>
  <c r="E11" i="42"/>
  <c r="F11" i="42" s="1"/>
  <c r="K10" i="42"/>
  <c r="L10" i="42" s="1"/>
  <c r="H10" i="42"/>
  <c r="I10" i="42" s="1"/>
  <c r="E10" i="42"/>
  <c r="F10" i="42" s="1"/>
  <c r="K9" i="42"/>
  <c r="L9" i="42" s="1"/>
  <c r="H9" i="42"/>
  <c r="I9" i="42" s="1"/>
  <c r="K8" i="42"/>
  <c r="L8" i="42" s="1"/>
  <c r="H8" i="42"/>
  <c r="I8" i="42" s="1"/>
  <c r="E8" i="42"/>
  <c r="F8" i="42" s="1"/>
  <c r="E5" i="51" l="1"/>
  <c r="E6" i="51" s="1"/>
  <c r="F5" i="49"/>
  <c r="X26" i="49"/>
  <c r="Y26" i="49" s="1"/>
  <c r="E5" i="42"/>
  <c r="AB6" i="55"/>
  <c r="V5" i="55"/>
  <c r="V6" i="55" s="1"/>
  <c r="P6" i="55"/>
  <c r="M5" i="55"/>
  <c r="G5" i="55"/>
  <c r="G6" i="55" s="1"/>
  <c r="U5" i="49"/>
  <c r="M6" i="55"/>
  <c r="Y19" i="55"/>
  <c r="Y21" i="55"/>
  <c r="Y23" i="55"/>
  <c r="Y25" i="55"/>
  <c r="Y27" i="55"/>
  <c r="P23" i="49"/>
  <c r="P21" i="49"/>
  <c r="P15" i="49"/>
  <c r="P13" i="49"/>
  <c r="R27" i="49"/>
  <c r="S27" i="49" s="1"/>
  <c r="R25" i="49"/>
  <c r="S25" i="49" s="1"/>
  <c r="R23" i="49"/>
  <c r="S23" i="49" s="1"/>
  <c r="R21" i="49"/>
  <c r="S21" i="49" s="1"/>
  <c r="R19" i="49"/>
  <c r="S19" i="49" s="1"/>
  <c r="R17" i="49"/>
  <c r="S17" i="49" s="1"/>
  <c r="R15" i="49"/>
  <c r="S15" i="49" s="1"/>
  <c r="R13" i="49"/>
  <c r="S13" i="49" s="1"/>
  <c r="R11" i="49"/>
  <c r="S11" i="49" s="1"/>
  <c r="R9" i="49"/>
  <c r="S9" i="49" s="1"/>
  <c r="I5" i="52"/>
  <c r="R5" i="52"/>
  <c r="U5" i="52"/>
  <c r="F5" i="54"/>
  <c r="F6" i="54" s="1"/>
  <c r="I5" i="55"/>
  <c r="J6" i="55" s="1"/>
  <c r="Y18" i="55"/>
  <c r="Y20" i="55"/>
  <c r="Y22" i="55"/>
  <c r="Y24" i="55"/>
  <c r="Y26" i="55"/>
  <c r="S8" i="55"/>
  <c r="Y8" i="55"/>
  <c r="S18" i="55"/>
  <c r="S19" i="55"/>
  <c r="S20" i="55"/>
  <c r="S21" i="55"/>
  <c r="S22" i="55"/>
  <c r="S23" i="55"/>
  <c r="S24" i="55"/>
  <c r="S25" i="55"/>
  <c r="S26" i="55"/>
  <c r="S27" i="55"/>
  <c r="I5" i="49"/>
  <c r="L5" i="49"/>
  <c r="J27" i="49"/>
  <c r="P14" i="49"/>
  <c r="X18" i="49"/>
  <c r="Y18" i="49" s="1"/>
  <c r="G5" i="52"/>
  <c r="G6" i="52" s="1"/>
  <c r="M5" i="52"/>
  <c r="S5" i="52"/>
  <c r="H5" i="53"/>
  <c r="I6" i="53" s="1"/>
  <c r="H5" i="54"/>
  <c r="I6" i="54" s="1"/>
  <c r="L8" i="54"/>
  <c r="L5" i="54" s="1"/>
  <c r="K5" i="54"/>
  <c r="O9" i="54"/>
  <c r="O10" i="54"/>
  <c r="O11" i="54"/>
  <c r="O12" i="54"/>
  <c r="O13" i="54"/>
  <c r="O14" i="54"/>
  <c r="O15" i="54"/>
  <c r="O16" i="54"/>
  <c r="O17" i="54"/>
  <c r="O18" i="54"/>
  <c r="O19" i="54"/>
  <c r="O20" i="54"/>
  <c r="O21" i="54"/>
  <c r="O22" i="54"/>
  <c r="O23" i="54"/>
  <c r="O24" i="54"/>
  <c r="O25" i="54"/>
  <c r="O26" i="54"/>
  <c r="O27" i="54"/>
  <c r="J5" i="52"/>
  <c r="J6" i="52" s="1"/>
  <c r="P5" i="52"/>
  <c r="V5" i="52"/>
  <c r="V6" i="52" s="1"/>
  <c r="O5" i="52"/>
  <c r="E5" i="53"/>
  <c r="E5" i="50"/>
  <c r="E6" i="50" s="1"/>
  <c r="B6" i="50" s="1"/>
  <c r="S6" i="52"/>
  <c r="R26" i="49"/>
  <c r="S26" i="49" s="1"/>
  <c r="R24" i="49"/>
  <c r="S24" i="49" s="1"/>
  <c r="R22" i="49"/>
  <c r="S22" i="49" s="1"/>
  <c r="R20" i="49"/>
  <c r="S20" i="49" s="1"/>
  <c r="R18" i="49"/>
  <c r="S18" i="49" s="1"/>
  <c r="R16" i="49"/>
  <c r="S16" i="49" s="1"/>
  <c r="R14" i="49"/>
  <c r="S14" i="49" s="1"/>
  <c r="R12" i="49"/>
  <c r="S12" i="49" s="1"/>
  <c r="R10" i="49"/>
  <c r="S10" i="49" s="1"/>
  <c r="R8" i="49"/>
  <c r="S8" i="49" s="1"/>
  <c r="P24" i="49"/>
  <c r="P20" i="49"/>
  <c r="P16" i="49"/>
  <c r="P12" i="49"/>
  <c r="P8" i="49"/>
  <c r="K5" i="51"/>
  <c r="K6" i="51" s="1"/>
  <c r="L5" i="52"/>
  <c r="M6" i="52" s="1"/>
  <c r="I5" i="42"/>
  <c r="F5" i="42"/>
  <c r="F6" i="42" s="1"/>
  <c r="L5" i="42"/>
  <c r="AA5" i="49"/>
  <c r="H5" i="51"/>
  <c r="H6" i="51" s="1"/>
  <c r="N5" i="51"/>
  <c r="N6" i="51" s="1"/>
  <c r="AB5" i="49"/>
  <c r="J23" i="49"/>
  <c r="J19" i="49"/>
  <c r="J15" i="49"/>
  <c r="J11" i="49"/>
  <c r="J9" i="49"/>
  <c r="X27" i="49"/>
  <c r="Y27" i="49" s="1"/>
  <c r="X9" i="49"/>
  <c r="Y9" i="49" s="1"/>
  <c r="AB6" i="49"/>
  <c r="O5" i="49"/>
  <c r="G5" i="49"/>
  <c r="G6" i="49" s="1"/>
  <c r="M5" i="49"/>
  <c r="M6" i="49" s="1"/>
  <c r="V8" i="49"/>
  <c r="H5" i="45"/>
  <c r="F5" i="45"/>
  <c r="E5" i="45"/>
  <c r="V12" i="49"/>
  <c r="V16" i="49"/>
  <c r="V20" i="49"/>
  <c r="V24" i="49"/>
  <c r="V10" i="49"/>
  <c r="V14" i="49"/>
  <c r="V18" i="49"/>
  <c r="V22" i="49"/>
  <c r="V26" i="49"/>
  <c r="U5" i="48"/>
  <c r="V5" i="48"/>
  <c r="G5" i="48"/>
  <c r="S5" i="48"/>
  <c r="M5" i="48"/>
  <c r="J5" i="48"/>
  <c r="P5" i="48"/>
  <c r="I5" i="48"/>
  <c r="F5" i="48"/>
  <c r="L5" i="48"/>
  <c r="O5" i="48"/>
  <c r="R5" i="48"/>
  <c r="E5" i="43"/>
  <c r="E6" i="43" s="1"/>
  <c r="H5" i="42"/>
  <c r="I6" i="42" s="1"/>
  <c r="K5" i="42"/>
  <c r="L6" i="42" s="1"/>
  <c r="I8" i="45"/>
  <c r="I10" i="45"/>
  <c r="I12" i="45"/>
  <c r="I14" i="45"/>
  <c r="I16" i="45"/>
  <c r="I18" i="45"/>
  <c r="I20" i="45"/>
  <c r="I22" i="45"/>
  <c r="I24" i="45"/>
  <c r="I26" i="45"/>
  <c r="N5" i="47"/>
  <c r="N6" i="47" s="1"/>
  <c r="K5" i="47"/>
  <c r="K6" i="47" s="1"/>
  <c r="H5" i="47"/>
  <c r="H6" i="47" s="1"/>
  <c r="E5" i="47"/>
  <c r="E6" i="47" s="1"/>
  <c r="I13" i="45"/>
  <c r="I17" i="45"/>
  <c r="I21" i="45"/>
  <c r="I11" i="45"/>
  <c r="I15" i="45"/>
  <c r="I19" i="45"/>
  <c r="I23" i="45"/>
  <c r="I25" i="45"/>
  <c r="I27" i="45"/>
  <c r="N8" i="42"/>
  <c r="N9" i="42"/>
  <c r="N10" i="42"/>
  <c r="O10" i="42" s="1"/>
  <c r="N11" i="42"/>
  <c r="O11" i="42" s="1"/>
  <c r="N12" i="42"/>
  <c r="O12" i="42" s="1"/>
  <c r="N13" i="42"/>
  <c r="O13" i="42" s="1"/>
  <c r="N14" i="42"/>
  <c r="O14" i="42" s="1"/>
  <c r="N15" i="42"/>
  <c r="O15" i="42" s="1"/>
  <c r="N16" i="42"/>
  <c r="O16" i="42" s="1"/>
  <c r="N17" i="42"/>
  <c r="O17" i="42" s="1"/>
  <c r="N18" i="42"/>
  <c r="O18" i="42" s="1"/>
  <c r="N19" i="42"/>
  <c r="O19" i="42" s="1"/>
  <c r="N20" i="42"/>
  <c r="O20" i="42" s="1"/>
  <c r="N21" i="42"/>
  <c r="O21" i="42" s="1"/>
  <c r="N22" i="42"/>
  <c r="O22" i="42" s="1"/>
  <c r="N23" i="42"/>
  <c r="O23" i="42" s="1"/>
  <c r="N24" i="42"/>
  <c r="O24" i="42" s="1"/>
  <c r="N25" i="42"/>
  <c r="O25" i="42" s="1"/>
  <c r="N26" i="42"/>
  <c r="O26" i="42" s="1"/>
  <c r="N27" i="42"/>
  <c r="O27" i="42" s="1"/>
  <c r="O8" i="42"/>
  <c r="B5" i="50" l="1"/>
  <c r="Y5" i="55"/>
  <c r="P5" i="49"/>
  <c r="P6" i="49" s="1"/>
  <c r="X5" i="55"/>
  <c r="Y6" i="55" s="1"/>
  <c r="S5" i="55"/>
  <c r="R5" i="55"/>
  <c r="L6" i="54"/>
  <c r="O8" i="54"/>
  <c r="O5" i="54" s="1"/>
  <c r="N5" i="54"/>
  <c r="P6" i="52"/>
  <c r="B5" i="52" s="1"/>
  <c r="R5" i="49"/>
  <c r="F6" i="53"/>
  <c r="B6" i="53" s="1"/>
  <c r="B6" i="51"/>
  <c r="B6" i="52"/>
  <c r="X5" i="49"/>
  <c r="Y5" i="49"/>
  <c r="B5" i="51"/>
  <c r="V6" i="48"/>
  <c r="S5" i="49"/>
  <c r="S6" i="49" s="1"/>
  <c r="F6" i="45"/>
  <c r="V9" i="49"/>
  <c r="V5" i="49" s="1"/>
  <c r="V6" i="49" s="1"/>
  <c r="J5" i="49"/>
  <c r="J6" i="49" s="1"/>
  <c r="M6" i="48"/>
  <c r="S6" i="48"/>
  <c r="P6" i="48"/>
  <c r="G6" i="48"/>
  <c r="J6" i="48"/>
  <c r="B6" i="43"/>
  <c r="B5" i="43"/>
  <c r="O9" i="42"/>
  <c r="O5" i="42" s="1"/>
  <c r="N5" i="42"/>
  <c r="B5" i="47"/>
  <c r="B6" i="47"/>
  <c r="I9" i="45"/>
  <c r="O6" i="54" l="1"/>
  <c r="S6" i="55"/>
  <c r="B5" i="55" s="1"/>
  <c r="B5" i="54"/>
  <c r="B6" i="54"/>
  <c r="Y6" i="49"/>
  <c r="B6" i="49" s="1"/>
  <c r="B5" i="53"/>
  <c r="B5" i="49"/>
  <c r="B5" i="48"/>
  <c r="I5" i="45"/>
  <c r="I6" i="45" s="1"/>
  <c r="B5" i="45" s="1"/>
  <c r="B6" i="48"/>
  <c r="O6" i="42"/>
  <c r="B5" i="42" s="1"/>
  <c r="B6" i="55" l="1"/>
  <c r="B6" i="42"/>
  <c r="B6" i="45"/>
</calcChain>
</file>

<file path=xl/sharedStrings.xml><?xml version="1.0" encoding="utf-8"?>
<sst xmlns="http://schemas.openxmlformats.org/spreadsheetml/2006/main" count="1059" uniqueCount="230">
  <si>
    <t>Excel Ignite Master Class</t>
  </si>
  <si>
    <t>3 Proven Skills to Reclaim 45 Min a Day</t>
  </si>
  <si>
    <r>
      <t xml:space="preserve">2. </t>
    </r>
    <r>
      <rPr>
        <b/>
        <u/>
        <sz val="13"/>
        <color rgb="FF636568"/>
        <rFont val="Calibri"/>
        <family val="2"/>
      </rPr>
      <t>S</t>
    </r>
    <r>
      <rPr>
        <sz val="13"/>
        <color rgb="FF636568"/>
        <rFont val="Calibri"/>
        <family val="2"/>
      </rPr>
      <t>yntax - Foundational building blocks for speaking the language of Excel formulas.</t>
    </r>
  </si>
  <si>
    <r>
      <t xml:space="preserve">3. </t>
    </r>
    <r>
      <rPr>
        <b/>
        <u/>
        <sz val="13"/>
        <color rgb="FF636568"/>
        <rFont val="Calibri"/>
        <family val="2"/>
      </rPr>
      <t>P</t>
    </r>
    <r>
      <rPr>
        <sz val="13"/>
        <color rgb="FF636568"/>
        <rFont val="Calibri"/>
        <family val="2"/>
      </rPr>
      <t>laceholders - Save formulas as you go with temporary values (e.g. "Blah").</t>
    </r>
  </si>
  <si>
    <r>
      <t xml:space="preserve">4. </t>
    </r>
    <r>
      <rPr>
        <b/>
        <u/>
        <sz val="13"/>
        <color rgb="FF636568"/>
        <rFont val="Calibri"/>
        <family val="2"/>
      </rPr>
      <t>H</t>
    </r>
    <r>
      <rPr>
        <sz val="13"/>
        <color rgb="FF636568"/>
        <rFont val="Calibri"/>
        <family val="2"/>
      </rPr>
      <t>elper Columns - Simplify calculations into bite-sized chunks using separate "Helper Columns."</t>
    </r>
  </si>
  <si>
    <r>
      <t xml:space="preserve">5. </t>
    </r>
    <r>
      <rPr>
        <b/>
        <u/>
        <sz val="13"/>
        <color rgb="FF636568"/>
        <rFont val="Calibri"/>
        <family val="2"/>
      </rPr>
      <t>H</t>
    </r>
    <r>
      <rPr>
        <sz val="13"/>
        <color rgb="FF636568"/>
        <rFont val="Calibri"/>
        <family val="2"/>
      </rPr>
      <t>elp - Learn any new function on your own using built-in Excel Help (F1 for PC or fn + F1 for MAC).</t>
    </r>
  </si>
  <si>
    <r>
      <rPr>
        <b/>
        <sz val="13"/>
        <color rgb="FF177390"/>
        <rFont val="Calibri"/>
        <family val="2"/>
      </rPr>
      <t>Memory Trick:</t>
    </r>
    <r>
      <rPr>
        <sz val="13"/>
        <color rgb="FF177390"/>
        <rFont val="Calibri"/>
        <family val="2"/>
      </rPr>
      <t xml:space="preserve"> FSPHH = "</t>
    </r>
    <r>
      <rPr>
        <b/>
        <u/>
        <sz val="13"/>
        <color rgb="FF177390"/>
        <rFont val="Calibri"/>
        <family val="2"/>
      </rPr>
      <t>F</t>
    </r>
    <r>
      <rPr>
        <sz val="13"/>
        <color rgb="FF177390"/>
        <rFont val="Calibri"/>
        <family val="2"/>
      </rPr>
      <t xml:space="preserve">ancy </t>
    </r>
    <r>
      <rPr>
        <b/>
        <u/>
        <sz val="13"/>
        <color rgb="FF177390"/>
        <rFont val="Calibri"/>
        <family val="2"/>
      </rPr>
      <t>S</t>
    </r>
    <r>
      <rPr>
        <sz val="13"/>
        <color rgb="FF177390"/>
        <rFont val="Calibri"/>
        <family val="2"/>
      </rPr>
      <t xml:space="preserve">tandard </t>
    </r>
    <r>
      <rPr>
        <b/>
        <u/>
        <sz val="13"/>
        <color rgb="FF177390"/>
        <rFont val="Calibri"/>
        <family val="2"/>
      </rPr>
      <t>P</t>
    </r>
    <r>
      <rPr>
        <sz val="13"/>
        <color rgb="FF177390"/>
        <rFont val="Calibri"/>
        <family val="2"/>
      </rPr>
      <t xml:space="preserve">ractice for </t>
    </r>
    <r>
      <rPr>
        <b/>
        <u/>
        <sz val="13"/>
        <color rgb="FF177390"/>
        <rFont val="Calibri"/>
        <family val="2"/>
      </rPr>
      <t>H</t>
    </r>
    <r>
      <rPr>
        <sz val="13"/>
        <color rgb="FF177390"/>
        <rFont val="Calibri"/>
        <family val="2"/>
      </rPr>
      <t xml:space="preserve">elping </t>
    </r>
    <r>
      <rPr>
        <b/>
        <u/>
        <sz val="13"/>
        <color rgb="FF177390"/>
        <rFont val="Calibri"/>
        <family val="2"/>
      </rPr>
      <t>H</t>
    </r>
    <r>
      <rPr>
        <sz val="13"/>
        <color rgb="FF177390"/>
        <rFont val="Calibri"/>
        <family val="2"/>
      </rPr>
      <t>ippos"</t>
    </r>
  </si>
  <si>
    <t>SESSION 03 EXERCISES: FORMULAS</t>
  </si>
  <si>
    <t>Five Foundational Formula Fundamentals:</t>
  </si>
  <si>
    <r>
      <t xml:space="preserve">1. </t>
    </r>
    <r>
      <rPr>
        <b/>
        <u/>
        <sz val="13"/>
        <color rgb="FF636568"/>
        <rFont val="Calibri"/>
        <family val="2"/>
      </rPr>
      <t>F</t>
    </r>
    <r>
      <rPr>
        <sz val="13"/>
        <color rgb="FF636568"/>
        <rFont val="Calibri"/>
        <family val="2"/>
      </rPr>
      <t>ormula Vs. Function - Family of all calculations vs. Friends with predefined calculations that serve a specific purpose.</t>
    </r>
  </si>
  <si>
    <t>Account ID</t>
  </si>
  <si>
    <t>Fill in Empty Cells (Gray Borders) with Correct Formulas [HINT: Expand Hidden Columns for ANSWERS]</t>
  </si>
  <si>
    <t>Full Name</t>
  </si>
  <si>
    <t>Cory Gibes</t>
  </si>
  <si>
    <t>Wilda Giguere</t>
  </si>
  <si>
    <t>Natalie Fern</t>
  </si>
  <si>
    <t>Lisha Centini</t>
  </si>
  <si>
    <t>Alease Buemi</t>
  </si>
  <si>
    <t>Angella Cetta</t>
  </si>
  <si>
    <t>Rosio Cork</t>
  </si>
  <si>
    <t>Twana Felger</t>
  </si>
  <si>
    <t>Estrella Samu</t>
  </si>
  <si>
    <t>Donte Kines</t>
  </si>
  <si>
    <t>Start Year</t>
  </si>
  <si>
    <t>YEAR</t>
  </si>
  <si>
    <t>Start Year ANS</t>
  </si>
  <si>
    <t>ANSWER</t>
  </si>
  <si>
    <t>Answer Status</t>
  </si>
  <si>
    <t>Correct</t>
  </si>
  <si>
    <t>Wrong</t>
  </si>
  <si>
    <t>Start Month</t>
  </si>
  <si>
    <t>MONTH</t>
  </si>
  <si>
    <t>Start Month ANS</t>
  </si>
  <si>
    <t>Answer Status Q01</t>
  </si>
  <si>
    <t>Answer Status Q02</t>
  </si>
  <si>
    <t>Answer Status Q03</t>
  </si>
  <si>
    <t>DAY</t>
  </si>
  <si>
    <t>DATE</t>
  </si>
  <si>
    <t>Start Day</t>
  </si>
  <si>
    <t>3 Months After Start Date</t>
  </si>
  <si>
    <t>Start Day ANS</t>
  </si>
  <si>
    <t>Answer Status Q04</t>
  </si>
  <si>
    <t>3 Months After Start Date ANS</t>
  </si>
  <si>
    <t>% Attempted</t>
  </si>
  <si>
    <t>% Correct</t>
  </si>
  <si>
    <t>AVERAGE</t>
  </si>
  <si>
    <t>Answer Status Q05</t>
  </si>
  <si>
    <t>Answer Status Q06</t>
  </si>
  <si>
    <t>State</t>
  </si>
  <si>
    <t>NY</t>
  </si>
  <si>
    <t>CT</t>
  </si>
  <si>
    <t>NJ</t>
  </si>
  <si>
    <t>MA</t>
  </si>
  <si>
    <t>IN</t>
  </si>
  <si>
    <t>IL</t>
  </si>
  <si>
    <t>MD</t>
  </si>
  <si>
    <t>FL</t>
  </si>
  <si>
    <t>CA</t>
  </si>
  <si>
    <t>IF</t>
  </si>
  <si>
    <t>AND</t>
  </si>
  <si>
    <t>OR</t>
  </si>
  <si>
    <t>Y</t>
  </si>
  <si>
    <t>N</t>
  </si>
  <si>
    <t>Function(s)</t>
  </si>
  <si>
    <t>Formula Element</t>
  </si>
  <si>
    <t>Reference(s)</t>
  </si>
  <si>
    <t>Operator(s)</t>
  </si>
  <si>
    <t>Constant(s)</t>
  </si>
  <si>
    <t>ID</t>
  </si>
  <si>
    <t>B12</t>
  </si>
  <si>
    <t>&gt;=</t>
  </si>
  <si>
    <t>529</t>
  </si>
  <si>
    <t>Hint: "FROC!"</t>
  </si>
  <si>
    <t>Formula Excerpt</t>
  </si>
  <si>
    <t>Fill in Empty Cells (Gray Borders) with Correct Formula Element from Dropdown List</t>
  </si>
  <si>
    <t>Formula Element ANS</t>
  </si>
  <si>
    <t>Fill in Empty Cells (Gray Borders) with Correct Answers [HINT: Expand Hidden Columns for ANSWERS]</t>
  </si>
  <si>
    <t>Contains Function(s) Y/N</t>
  </si>
  <si>
    <t>Contains Reference(s) Y/N</t>
  </si>
  <si>
    <t>Contains Operator(s) Y/N</t>
  </si>
  <si>
    <t>Contains Constant(s) Y/N</t>
  </si>
  <si>
    <t>YesNo</t>
  </si>
  <si>
    <t>=SUM($A$1:A20)</t>
  </si>
  <si>
    <t>=T2+T1000</t>
  </si>
  <si>
    <t>=100^V8</t>
  </si>
  <si>
    <t>=G6</t>
  </si>
  <si>
    <t>=300</t>
  </si>
  <si>
    <t>Contains Function(s) Y/N ANS</t>
  </si>
  <si>
    <t>Contains Reference(s) Y/N ANS</t>
  </si>
  <si>
    <t>Contains Operator(s) Y/N ANS</t>
  </si>
  <si>
    <t>Contains Constant(s) Y/N ANS</t>
  </si>
  <si>
    <t>Formula Example</t>
  </si>
  <si>
    <t>=ISTEXT(EXACT("Blue","Red"))</t>
  </si>
  <si>
    <t>=IF(A1&gt;100,"Approve","Deny")</t>
  </si>
  <si>
    <t>=IF(5=5, 20&lt;&gt;$F$5, W9 &amp; M2)</t>
  </si>
  <si>
    <t>% Change (Y2 - Y1) / Y1</t>
  </si>
  <si>
    <t>-, /, (, and )</t>
  </si>
  <si>
    <t>^</t>
  </si>
  <si>
    <t>% Change (Y2 - Y1) / Y1 ANS</t>
  </si>
  <si>
    <t>Membership Dues Y1^2 ANS</t>
  </si>
  <si>
    <t>&lt;=</t>
  </si>
  <si>
    <t>Is Y1 Less Than or Equal to Y2</t>
  </si>
  <si>
    <t>Is Y1 Less Than or Equal to Y2 ANS</t>
  </si>
  <si>
    <t>Is Y1 Equal to Y2</t>
  </si>
  <si>
    <t>=</t>
  </si>
  <si>
    <t>Is Y1 Equal to Y2 ANS</t>
  </si>
  <si>
    <t>Is Y1 Not Equal to Y2</t>
  </si>
  <si>
    <t>&lt;&gt;</t>
  </si>
  <si>
    <t>&amp;</t>
  </si>
  <si>
    <t>Is Y1 Not Equal to Y2 ANS</t>
  </si>
  <si>
    <t>Account ID: Full Name</t>
  </si>
  <si>
    <t>1030: Cory Gibes</t>
  </si>
  <si>
    <t>4298: Wilda Giguere</t>
  </si>
  <si>
    <t>4071: Natalie Fern</t>
  </si>
  <si>
    <t>1066: Lisha Centini</t>
  </si>
  <si>
    <t>3334: Alease Buemi</t>
  </si>
  <si>
    <t>2458: Angella Cetta</t>
  </si>
  <si>
    <t>1131: Rosio Cork</t>
  </si>
  <si>
    <t>2304: Twana Felger</t>
  </si>
  <si>
    <t>3694: Estrella Samu</t>
  </si>
  <si>
    <t>4522: Donte Kines</t>
  </si>
  <si>
    <t>Account ID: Full Name ANS</t>
  </si>
  <si>
    <t>A1) Formula Elements</t>
  </si>
  <si>
    <t>B3) Placeholders</t>
  </si>
  <si>
    <t>A2) Syntax</t>
  </si>
  <si>
    <t>Member Dues Year 1</t>
  </si>
  <si>
    <t>Member Dues Year 2</t>
  </si>
  <si>
    <t>Member Dues Y1^2</t>
  </si>
  <si>
    <t>A0) Formula Elements Intro</t>
  </si>
  <si>
    <t>B5) Help</t>
  </si>
  <si>
    <t>B4) Helper Columns</t>
  </si>
  <si>
    <t>Is State "NY" ("blah true" or "blah false")</t>
  </si>
  <si>
    <t>blah true</t>
  </si>
  <si>
    <t>blah false</t>
  </si>
  <si>
    <t>Is State "NY" ("blah true" or "blah false") ANS</t>
  </si>
  <si>
    <t>Is State "NY" (If true, show Account ID: Full Name. If false, show Account ID only)</t>
  </si>
  <si>
    <t>Is State "NY" (If true, show Account ID: Full Name. If false, show Account ID only) ANS</t>
  </si>
  <si>
    <t>Q#</t>
  </si>
  <si>
    <t>Member Start Date</t>
  </si>
  <si>
    <t>Elvera Benim</t>
  </si>
  <si>
    <t>Carma Heusen</t>
  </si>
  <si>
    <t>Malinda Hoc</t>
  </si>
  <si>
    <t>Danica Brusch</t>
  </si>
  <si>
    <t>Tammy Ward</t>
  </si>
  <si>
    <t>Arlene Klus</t>
  </si>
  <si>
    <t>Louisa Croner</t>
  </si>
  <si>
    <t>Cyndy Gold</t>
  </si>
  <si>
    <t>Celeste Koran</t>
  </si>
  <si>
    <t>Tiff Steffen</t>
  </si>
  <si>
    <t>4405: Tammy Ward</t>
  </si>
  <si>
    <t>1495: Cyndy Gold</t>
  </si>
  <si>
    <t>1198: Tiff Steffen</t>
  </si>
  <si>
    <t>Answer Status Q07</t>
  </si>
  <si>
    <t>Answer Status Q08</t>
  </si>
  <si>
    <t>TEXT</t>
  </si>
  <si>
    <t>Start Weekday ("DDD")</t>
  </si>
  <si>
    <t>Start Weekday ("DDD") ANS</t>
  </si>
  <si>
    <t>Tue</t>
  </si>
  <si>
    <t>Mon</t>
  </si>
  <si>
    <t>Wed</t>
  </si>
  <si>
    <t>Fri</t>
  </si>
  <si>
    <t>Thu</t>
  </si>
  <si>
    <t>Start Month ("MMM")</t>
  </si>
  <si>
    <t>Jan</t>
  </si>
  <si>
    <t>Nov</t>
  </si>
  <si>
    <t>Dec</t>
  </si>
  <si>
    <t>Jun</t>
  </si>
  <si>
    <t>Oct</t>
  </si>
  <si>
    <t>Jul</t>
  </si>
  <si>
    <t>Sep</t>
  </si>
  <si>
    <t>Feb</t>
  </si>
  <si>
    <t>Start Month ("MMM") ANS</t>
  </si>
  <si>
    <t>Start Day ("D")</t>
  </si>
  <si>
    <t>Start Day ("D") ANS</t>
  </si>
  <si>
    <t>1</t>
  </si>
  <si>
    <t>26</t>
  </si>
  <si>
    <t>9</t>
  </si>
  <si>
    <t>8</t>
  </si>
  <si>
    <t>11</t>
  </si>
  <si>
    <t>21</t>
  </si>
  <si>
    <t>12</t>
  </si>
  <si>
    <t>31</t>
  </si>
  <si>
    <t>30</t>
  </si>
  <si>
    <t>24</t>
  </si>
  <si>
    <t>19</t>
  </si>
  <si>
    <t>17</t>
  </si>
  <si>
    <t>23</t>
  </si>
  <si>
    <t>Start Year ("YYYY")</t>
  </si>
  <si>
    <t>Start Year ("YYYY") ANS</t>
  </si>
  <si>
    <t>2019</t>
  </si>
  <si>
    <t>2012</t>
  </si>
  <si>
    <t>2017</t>
  </si>
  <si>
    <t>2011</t>
  </si>
  <si>
    <t>2015</t>
  </si>
  <si>
    <t>2013</t>
  </si>
  <si>
    <t>2014</t>
  </si>
  <si>
    <t>CONCAT</t>
  </si>
  <si>
    <t>Full Date ("DDD, MMM D, YYYY")</t>
  </si>
  <si>
    <t>Full Date ("DDD, MMM D, YYYY") ANS</t>
  </si>
  <si>
    <t>Tue, Jan 1, 2019</t>
  </si>
  <si>
    <t>Mon, Nov 26, 2012</t>
  </si>
  <si>
    <t>Wed, Dec 26, 2012</t>
  </si>
  <si>
    <t>Fri, Jun 9, 2017</t>
  </si>
  <si>
    <t>Tue, Nov 8, 2011</t>
  </si>
  <si>
    <t>Thu, Jun 11, 2015</t>
  </si>
  <si>
    <t>Mon, Oct 21, 2013</t>
  </si>
  <si>
    <t>Mon, Jun 12, 2017</t>
  </si>
  <si>
    <t>Tue, Jul 31, 2012</t>
  </si>
  <si>
    <t>Mon, Dec 30, 2013</t>
  </si>
  <si>
    <t>Mon, Sep 24, 2012</t>
  </si>
  <si>
    <t>Mon, Jul 30, 2012</t>
  </si>
  <si>
    <t>Thu, Feb 19, 2015</t>
  </si>
  <si>
    <t>Tue, Oct 17, 2017</t>
  </si>
  <si>
    <t>Tue, Sep 23, 2014</t>
  </si>
  <si>
    <t>State is "NY" AND Start Year is "2019" (TRUE/FALSE)</t>
  </si>
  <si>
    <t>State is "NY" AND Start Year is "2019" (TRUE/FALSE) ANS</t>
  </si>
  <si>
    <t>State is "NY" OR Start Year is "2019" (TRUE/FALSE)</t>
  </si>
  <si>
    <t>State is "NY" OR Start Year is "2019" (TRUE/FALSE) ANS</t>
  </si>
  <si>
    <t>IF and OR</t>
  </si>
  <si>
    <t>If State is "NJ" OR Start Year is "2012" then "Approve", otherwise "Deny"</t>
  </si>
  <si>
    <t>If State is "NJ" OR Start Year is "2012" then "Approve", otherwise "Deny" ANS</t>
  </si>
  <si>
    <t>Deny</t>
  </si>
  <si>
    <t>Approve</t>
  </si>
  <si>
    <t>1603: Danica Brusch</t>
  </si>
  <si>
    <t>2352: Elvera Benim</t>
  </si>
  <si>
    <t>1049: Carma Heusen</t>
  </si>
  <si>
    <t>2278: Malinda Hoc</t>
  </si>
  <si>
    <t>2316: Arlene Klus</t>
  </si>
  <si>
    <t>1084: Louisa Croner</t>
  </si>
  <si>
    <t>2314: Celeste Koran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</si>
</sst>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"/>
    <numFmt numFmtId="165" formatCode="mm/dd/yy;@"/>
    <numFmt numFmtId="166" formatCode="&quot;$&quot;#,##0.00"/>
  </numFmts>
  <fonts count="29" x14ac:knownFonts="1">
    <font>
      <sz val="11"/>
      <color theme="1"/>
      <name val="Calibri"/>
      <family val="2"/>
    </font>
    <font>
      <sz val="11"/>
      <color theme="0" tint="-0.34998626667073579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rgb="FF7030A0"/>
      <name val="Calibri"/>
      <family val="2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color theme="1" tint="0.24994659260841701"/>
      <name val="Calibri"/>
      <family val="2"/>
      <scheme val="minor"/>
    </font>
    <font>
      <sz val="11"/>
      <color rgb="FF636568"/>
      <name val="Calibri"/>
      <family val="2"/>
    </font>
    <font>
      <sz val="36"/>
      <color rgb="FF636568"/>
      <name val="Calibri"/>
      <family val="2"/>
    </font>
    <font>
      <sz val="20"/>
      <color rgb="FF636568"/>
      <name val="Calibri"/>
      <family val="2"/>
    </font>
    <font>
      <sz val="16"/>
      <color rgb="FF636568"/>
      <name val="Calibri"/>
      <family val="2"/>
    </font>
    <font>
      <sz val="13"/>
      <color rgb="FF636568"/>
      <name val="Calibri"/>
      <family val="2"/>
    </font>
    <font>
      <b/>
      <sz val="16"/>
      <color rgb="FF636568"/>
      <name val="Calibri"/>
      <family val="2"/>
    </font>
    <font>
      <b/>
      <u/>
      <sz val="13"/>
      <color rgb="FF636568"/>
      <name val="Calibri"/>
      <family val="2"/>
    </font>
    <font>
      <sz val="13"/>
      <color rgb="FF177390"/>
      <name val="Calibri"/>
      <family val="2"/>
    </font>
    <font>
      <b/>
      <sz val="13"/>
      <color rgb="FF177390"/>
      <name val="Calibri"/>
      <family val="2"/>
    </font>
    <font>
      <b/>
      <u/>
      <sz val="13"/>
      <color rgb="FF177390"/>
      <name val="Calibri"/>
      <family val="2"/>
    </font>
    <font>
      <i/>
      <sz val="14"/>
      <color rgb="FF636568"/>
      <name val="Calibri"/>
      <family val="2"/>
    </font>
    <font>
      <b/>
      <sz val="11"/>
      <color theme="1"/>
      <name val="Calibri"/>
      <family val="2"/>
    </font>
    <font>
      <b/>
      <sz val="14"/>
      <color rgb="FF636568"/>
      <name val="Calibri"/>
      <family val="2"/>
    </font>
    <font>
      <b/>
      <i/>
      <sz val="11"/>
      <color theme="0"/>
      <name val="Calibri"/>
      <family val="2"/>
    </font>
    <font>
      <i/>
      <sz val="11"/>
      <color theme="1"/>
      <name val="Calibri"/>
      <family val="2"/>
    </font>
    <font>
      <sz val="8"/>
      <name val="Calibri"/>
      <family val="2"/>
    </font>
    <font>
      <i/>
      <sz val="11"/>
      <color rgb="FF7F7F7F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40B4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8E908F"/>
        <bgColor indexed="64"/>
      </patternFill>
    </fill>
    <fill>
      <patternFill patternType="solid">
        <fgColor rgb="FFFFD101"/>
        <bgColor indexed="64"/>
      </patternFill>
    </fill>
    <fill>
      <patternFill patternType="solid">
        <fgColor rgb="FFFFEB9C"/>
      </patternFill>
    </fill>
    <fill>
      <patternFill patternType="solid">
        <fgColor rgb="FF2297D4"/>
        <bgColor indexed="64"/>
      </patternFill>
    </fill>
    <fill>
      <patternFill patternType="solid">
        <fgColor rgb="FFEE332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D6F6F5"/>
        <bgColor indexed="64"/>
      </patternFill>
    </fill>
    <fill>
      <patternFill patternType="solid">
        <fgColor rgb="FFEBFEFC"/>
        <bgColor indexed="64"/>
      </patternFill>
    </fill>
  </fills>
  <borders count="1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9" fontId="9" fillId="0" borderId="0" applyFont="0" applyFill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8" borderId="0" applyNumberFormat="0" applyBorder="0" applyAlignment="0" applyProtection="0"/>
    <xf numFmtId="0" fontId="5" fillId="0" borderId="1" applyNumberFormat="0" applyFill="0" applyAlignment="0">
      <protection locked="0"/>
    </xf>
    <xf numFmtId="0" fontId="3" fillId="0" borderId="0" applyNumberFormat="0" applyFill="0" applyBorder="0" applyAlignment="0"/>
    <xf numFmtId="0" fontId="11" fillId="0" borderId="0" applyNumberFormat="0" applyFill="0" applyBorder="0" applyAlignment="0"/>
    <xf numFmtId="0" fontId="1" fillId="0" borderId="0" applyNumberFormat="0" applyFill="0" applyBorder="0" applyAlignment="0"/>
    <xf numFmtId="164" fontId="4" fillId="0" borderId="0" applyNumberFormat="0" applyFill="0" applyBorder="0" applyAlignment="0" applyProtection="0">
      <alignment horizontal="right"/>
    </xf>
    <xf numFmtId="10" fontId="6" fillId="0" borderId="0" applyNumberFormat="0" applyFill="0" applyBorder="0" applyAlignment="0" applyProtection="0"/>
    <xf numFmtId="0" fontId="7" fillId="0" borderId="0" applyNumberFormat="0" applyFill="0" applyBorder="0" applyAlignment="0"/>
    <xf numFmtId="0" fontId="8" fillId="0" borderId="1" applyNumberFormat="0" applyFill="0" applyAlignment="0">
      <protection locked="0"/>
    </xf>
    <xf numFmtId="0" fontId="2" fillId="2" borderId="0" applyNumberFormat="0" applyBorder="0" applyAlignment="0"/>
    <xf numFmtId="0" fontId="2" fillId="9" borderId="0" applyNumberFormat="0" applyBorder="0" applyAlignment="0"/>
    <xf numFmtId="0" fontId="2" fillId="6" borderId="0" applyNumberFormat="0" applyBorder="0" applyAlignment="0"/>
    <xf numFmtId="0" fontId="2" fillId="3" borderId="0" applyNumberFormat="0" applyBorder="0" applyAlignment="0"/>
    <xf numFmtId="0" fontId="10" fillId="7" borderId="0" applyNumberFormat="0" applyBorder="0" applyAlignment="0"/>
    <xf numFmtId="0" fontId="2" fillId="10" borderId="0" applyNumberFormat="0" applyBorder="0" applyAlignment="0"/>
    <xf numFmtId="0" fontId="2" fillId="11" borderId="0" applyNumberFormat="0" applyBorder="0" applyAlignment="0"/>
    <xf numFmtId="0" fontId="28" fillId="0" borderId="0" applyNumberFormat="0" applyFill="0" applyBorder="0" applyAlignment="0" applyProtection="0"/>
  </cellStyleXfs>
  <cellXfs count="100">
    <xf numFmtId="0" fontId="0" fillId="0" borderId="0" xfId="0"/>
    <xf numFmtId="0" fontId="12" fillId="12" borderId="0" xfId="0" applyFont="1" applyFill="1"/>
    <xf numFmtId="0" fontId="13" fillId="12" borderId="0" xfId="0" applyFont="1" applyFill="1"/>
    <xf numFmtId="0" fontId="14" fillId="12" borderId="0" xfId="0" applyFont="1" applyFill="1"/>
    <xf numFmtId="0" fontId="15" fillId="12" borderId="0" xfId="0" applyFont="1" applyFill="1"/>
    <xf numFmtId="0" fontId="16" fillId="12" borderId="0" xfId="0" applyFont="1" applyFill="1"/>
    <xf numFmtId="0" fontId="17" fillId="12" borderId="0" xfId="0" applyFont="1" applyFill="1"/>
    <xf numFmtId="0" fontId="19" fillId="12" borderId="0" xfId="0" applyFont="1" applyFill="1"/>
    <xf numFmtId="0" fontId="0" fillId="12" borderId="0" xfId="0" applyFill="1"/>
    <xf numFmtId="0" fontId="22" fillId="12" borderId="0" xfId="0" applyFont="1" applyFill="1"/>
    <xf numFmtId="0" fontId="0" fillId="13" borderId="0" xfId="0" applyFill="1"/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0" fontId="24" fillId="12" borderId="0" xfId="0" applyFont="1" applyFill="1"/>
    <xf numFmtId="0" fontId="0" fillId="0" borderId="0" xfId="0" applyFill="1" applyAlignment="1">
      <alignment horizontal="left"/>
    </xf>
    <xf numFmtId="165" fontId="0" fillId="0" borderId="0" xfId="0" applyNumberFormat="1" applyFill="1" applyAlignment="1">
      <alignment horizontal="left"/>
    </xf>
    <xf numFmtId="0" fontId="23" fillId="13" borderId="0" xfId="0" applyFont="1" applyFill="1" applyAlignment="1">
      <alignment horizontal="right"/>
    </xf>
    <xf numFmtId="0" fontId="0" fillId="13" borderId="0" xfId="0" applyFill="1" applyAlignment="1">
      <alignment horizontal="center"/>
    </xf>
    <xf numFmtId="0" fontId="25" fillId="2" borderId="0" xfId="13" applyFont="1" applyAlignment="1">
      <alignment horizontal="right"/>
    </xf>
    <xf numFmtId="0" fontId="5" fillId="0" borderId="1" xfId="5" applyAlignment="1">
      <alignment horizontal="center"/>
      <protection locked="0"/>
    </xf>
    <xf numFmtId="0" fontId="0" fillId="0" borderId="2" xfId="0" applyBorder="1" applyAlignment="1">
      <alignment wrapText="1"/>
    </xf>
    <xf numFmtId="0" fontId="0" fillId="0" borderId="2" xfId="0" applyFont="1" applyBorder="1" applyAlignment="1">
      <alignment wrapText="1"/>
    </xf>
    <xf numFmtId="0" fontId="0" fillId="13" borderId="4" xfId="0" applyFill="1" applyBorder="1" applyAlignment="1">
      <alignment horizontal="center"/>
    </xf>
    <xf numFmtId="0" fontId="0" fillId="0" borderId="5" xfId="0" applyBorder="1" applyAlignment="1">
      <alignment horizontal="right" wrapText="1"/>
    </xf>
    <xf numFmtId="0" fontId="25" fillId="2" borderId="2" xfId="13" applyFont="1" applyBorder="1" applyAlignment="1">
      <alignment horizontal="right" wrapText="1"/>
    </xf>
    <xf numFmtId="0" fontId="4" fillId="0" borderId="0" xfId="9" applyNumberFormat="1" applyAlignment="1"/>
    <xf numFmtId="0" fontId="25" fillId="6" borderId="2" xfId="15" applyFont="1" applyBorder="1" applyAlignment="1">
      <alignment horizontal="center" wrapText="1"/>
    </xf>
    <xf numFmtId="0" fontId="26" fillId="0" borderId="0" xfId="0" applyFont="1" applyAlignment="1">
      <alignment horizontal="center"/>
    </xf>
    <xf numFmtId="9" fontId="4" fillId="13" borderId="0" xfId="9" applyNumberFormat="1" applyFill="1" applyAlignment="1">
      <alignment horizontal="center"/>
    </xf>
    <xf numFmtId="0" fontId="0" fillId="0" borderId="5" xfId="0" applyBorder="1" applyAlignment="1">
      <alignment horizontal="left" wrapText="1"/>
    </xf>
    <xf numFmtId="0" fontId="0" fillId="13" borderId="4" xfId="0" applyFill="1" applyBorder="1" applyAlignment="1">
      <alignment horizontal="left"/>
    </xf>
    <xf numFmtId="0" fontId="25" fillId="2" borderId="0" xfId="13" applyFont="1" applyAlignment="1">
      <alignment horizontal="left"/>
    </xf>
    <xf numFmtId="0" fontId="25" fillId="2" borderId="2" xfId="13" applyFont="1" applyBorder="1" applyAlignment="1">
      <alignment horizontal="left" wrapText="1"/>
    </xf>
    <xf numFmtId="165" fontId="5" fillId="0" borderId="7" xfId="5" applyNumberFormat="1" applyBorder="1" applyAlignment="1">
      <alignment horizontal="left"/>
      <protection locked="0"/>
    </xf>
    <xf numFmtId="165" fontId="4" fillId="0" borderId="0" xfId="9" applyNumberFormat="1" applyAlignment="1">
      <alignment horizontal="left"/>
    </xf>
    <xf numFmtId="0" fontId="23" fillId="13" borderId="6" xfId="0" applyFont="1" applyFill="1" applyBorder="1"/>
    <xf numFmtId="0" fontId="1" fillId="13" borderId="4" xfId="8" applyFill="1" applyBorder="1" applyAlignment="1">
      <alignment horizontal="center"/>
    </xf>
    <xf numFmtId="0" fontId="1" fillId="13" borderId="0" xfId="8" applyFill="1" applyBorder="1" applyAlignment="1">
      <alignment horizontal="center"/>
    </xf>
    <xf numFmtId="9" fontId="4" fillId="13" borderId="3" xfId="9" applyNumberFormat="1" applyFill="1" applyBorder="1" applyAlignment="1">
      <alignment horizontal="center"/>
    </xf>
    <xf numFmtId="0" fontId="5" fillId="0" borderId="8" xfId="5" applyBorder="1" applyAlignment="1">
      <alignment horizontal="left"/>
      <protection locked="0"/>
    </xf>
    <xf numFmtId="0" fontId="5" fillId="0" borderId="7" xfId="5" applyBorder="1" applyAlignment="1">
      <alignment horizontal="left"/>
      <protection locked="0"/>
    </xf>
    <xf numFmtId="0" fontId="4" fillId="0" borderId="0" xfId="9" applyNumberFormat="1" applyAlignment="1">
      <alignment horizontal="left"/>
    </xf>
    <xf numFmtId="166" fontId="5" fillId="0" borderId="8" xfId="5" applyNumberFormat="1" applyBorder="1" applyAlignment="1">
      <alignment horizontal="right"/>
      <protection locked="0"/>
    </xf>
    <xf numFmtId="166" fontId="5" fillId="0" borderId="7" xfId="5" applyNumberFormat="1" applyBorder="1" applyAlignment="1">
      <alignment horizontal="right"/>
      <protection locked="0"/>
    </xf>
    <xf numFmtId="0" fontId="0" fillId="0" borderId="2" xfId="0" applyBorder="1" applyAlignment="1">
      <alignment horizontal="right" wrapText="1"/>
    </xf>
    <xf numFmtId="166" fontId="4" fillId="0" borderId="0" xfId="9" applyNumberFormat="1" applyAlignment="1">
      <alignment horizontal="right"/>
    </xf>
    <xf numFmtId="166" fontId="4" fillId="0" borderId="0" xfId="9" applyNumberFormat="1" applyAlignment="1"/>
    <xf numFmtId="0" fontId="25" fillId="6" borderId="9" xfId="15" applyFont="1" applyBorder="1" applyAlignment="1">
      <alignment horizontal="center" wrapText="1"/>
    </xf>
    <xf numFmtId="0" fontId="26" fillId="0" borderId="0" xfId="0" applyNumberFormat="1" applyFont="1" applyAlignment="1">
      <alignment horizontal="center"/>
    </xf>
    <xf numFmtId="0" fontId="0" fillId="0" borderId="2" xfId="0" applyBorder="1" applyAlignment="1">
      <alignment horizontal="left" wrapText="1"/>
    </xf>
    <xf numFmtId="0" fontId="23" fillId="13" borderId="0" xfId="0" applyFont="1" applyFill="1" applyBorder="1"/>
    <xf numFmtId="0" fontId="0" fillId="0" borderId="5" xfId="0" applyBorder="1" applyAlignment="1">
      <alignment horizontal="center" wrapText="1"/>
    </xf>
    <xf numFmtId="0" fontId="5" fillId="0" borderId="7" xfId="5" applyNumberFormat="1" applyBorder="1" applyAlignment="1">
      <alignment horizontal="center"/>
      <protection locked="0"/>
    </xf>
    <xf numFmtId="0" fontId="25" fillId="2" borderId="2" xfId="13" applyFont="1" applyBorder="1" applyAlignment="1">
      <alignment horizontal="center" wrapText="1"/>
    </xf>
    <xf numFmtId="0" fontId="4" fillId="0" borderId="0" xfId="9" applyNumberFormat="1" applyAlignment="1">
      <alignment horizontal="center"/>
    </xf>
    <xf numFmtId="0" fontId="25" fillId="2" borderId="0" xfId="13" applyFont="1" applyAlignment="1">
      <alignment horizontal="center"/>
    </xf>
    <xf numFmtId="0" fontId="0" fillId="0" borderId="10" xfId="0" applyBorder="1" applyAlignment="1">
      <alignment horizontal="center" wrapText="1"/>
    </xf>
    <xf numFmtId="0" fontId="25" fillId="2" borderId="9" xfId="13" applyFont="1" applyBorder="1" applyAlignment="1">
      <alignment horizontal="center" wrapText="1"/>
    </xf>
    <xf numFmtId="0" fontId="5" fillId="0" borderId="11" xfId="5" applyBorder="1">
      <protection locked="0"/>
    </xf>
    <xf numFmtId="0" fontId="5" fillId="0" borderId="11" xfId="5" applyBorder="1" applyAlignment="1">
      <alignment horizontal="center"/>
      <protection locked="0"/>
    </xf>
    <xf numFmtId="0" fontId="0" fillId="0" borderId="2" xfId="0" applyBorder="1" applyAlignment="1">
      <alignment horizontal="center" wrapText="1"/>
    </xf>
    <xf numFmtId="0" fontId="5" fillId="0" borderId="12" xfId="5" applyFill="1" applyBorder="1">
      <protection locked="0"/>
    </xf>
    <xf numFmtId="49" fontId="0" fillId="0" borderId="0" xfId="0" applyNumberFormat="1" applyAlignment="1">
      <alignment horizontal="left"/>
    </xf>
    <xf numFmtId="0" fontId="15" fillId="12" borderId="0" xfId="0" applyFont="1" applyFill="1" applyAlignment="1">
      <alignment horizontal="left" indent="21"/>
    </xf>
    <xf numFmtId="0" fontId="22" fillId="12" borderId="0" xfId="0" applyFont="1" applyFill="1" applyAlignment="1">
      <alignment horizontal="left" indent="21"/>
    </xf>
    <xf numFmtId="0" fontId="28" fillId="13" borderId="4" xfId="20" applyFill="1" applyBorder="1" applyAlignment="1">
      <alignment horizontal="left"/>
    </xf>
    <xf numFmtId="0" fontId="0" fillId="0" borderId="0" xfId="0" applyAlignment="1">
      <alignment wrapText="1"/>
    </xf>
    <xf numFmtId="0" fontId="5" fillId="0" borderId="12" xfId="5" applyFill="1" applyBorder="1" applyAlignment="1">
      <alignment horizontal="center"/>
      <protection locked="0"/>
    </xf>
    <xf numFmtId="0" fontId="5" fillId="0" borderId="8" xfId="5" applyBorder="1" applyAlignment="1">
      <alignment horizontal="center"/>
      <protection locked="0"/>
    </xf>
    <xf numFmtId="0" fontId="5" fillId="0" borderId="7" xfId="5" applyBorder="1" applyAlignment="1">
      <alignment horizontal="center"/>
      <protection locked="0"/>
    </xf>
    <xf numFmtId="0" fontId="4" fillId="0" borderId="13" xfId="9" applyNumberFormat="1" applyBorder="1" applyAlignment="1">
      <alignment horizontal="center"/>
    </xf>
    <xf numFmtId="0" fontId="4" fillId="0" borderId="0" xfId="9" applyNumberFormat="1" applyBorder="1" applyAlignment="1">
      <alignment horizontal="center"/>
    </xf>
    <xf numFmtId="0" fontId="0" fillId="13" borderId="4" xfId="0" applyFill="1" applyBorder="1"/>
    <xf numFmtId="0" fontId="0" fillId="13" borderId="0" xfId="0" quotePrefix="1" applyFill="1"/>
    <xf numFmtId="9" fontId="0" fillId="13" borderId="0" xfId="0" applyNumberFormat="1" applyFill="1" applyAlignment="1">
      <alignment horizontal="center"/>
    </xf>
    <xf numFmtId="0" fontId="15" fillId="12" borderId="0" xfId="0" applyFont="1" applyFill="1" applyAlignment="1">
      <alignment horizontal="left" indent="29"/>
    </xf>
    <xf numFmtId="0" fontId="22" fillId="12" borderId="0" xfId="0" applyFont="1" applyFill="1" applyAlignment="1">
      <alignment horizontal="left" indent="29"/>
    </xf>
    <xf numFmtId="9" fontId="5" fillId="0" borderId="8" xfId="5" applyNumberFormat="1" applyBorder="1" applyAlignment="1">
      <alignment horizontal="right"/>
      <protection locked="0"/>
    </xf>
    <xf numFmtId="9" fontId="5" fillId="0" borderId="7" xfId="5" applyNumberFormat="1" applyBorder="1" applyAlignment="1">
      <alignment horizontal="right"/>
      <protection locked="0"/>
    </xf>
    <xf numFmtId="0" fontId="0" fillId="13" borderId="4" xfId="0" quotePrefix="1" applyFill="1" applyBorder="1" applyAlignment="1">
      <alignment horizontal="center"/>
    </xf>
    <xf numFmtId="3" fontId="5" fillId="0" borderId="7" xfId="5" applyNumberFormat="1" applyBorder="1" applyAlignment="1">
      <alignment horizontal="center"/>
      <protection locked="0"/>
    </xf>
    <xf numFmtId="3" fontId="4" fillId="0" borderId="0" xfId="9" applyNumberFormat="1" applyAlignment="1">
      <alignment horizontal="center"/>
    </xf>
    <xf numFmtId="0" fontId="0" fillId="0" borderId="10" xfId="0" applyBorder="1" applyAlignment="1">
      <alignment horizontal="left" wrapText="1"/>
    </xf>
    <xf numFmtId="3" fontId="5" fillId="0" borderId="7" xfId="5" applyNumberFormat="1" applyBorder="1" applyAlignment="1">
      <alignment horizontal="left"/>
      <protection locked="0"/>
    </xf>
    <xf numFmtId="0" fontId="25" fillId="2" borderId="9" xfId="13" applyFont="1" applyBorder="1" applyAlignment="1">
      <alignment horizontal="left" wrapText="1"/>
    </xf>
    <xf numFmtId="3" fontId="4" fillId="0" borderId="0" xfId="9" applyNumberFormat="1" applyAlignment="1">
      <alignment horizontal="left"/>
    </xf>
    <xf numFmtId="164" fontId="0" fillId="0" borderId="0" xfId="0" applyNumberFormat="1" applyAlignment="1">
      <alignment horizontal="right"/>
    </xf>
    <xf numFmtId="164" fontId="0" fillId="0" borderId="0" xfId="0" applyNumberFormat="1" applyFill="1" applyAlignment="1">
      <alignment horizontal="right"/>
    </xf>
    <xf numFmtId="0" fontId="5" fillId="0" borderId="8" xfId="5" applyNumberFormat="1" applyBorder="1" applyAlignment="1">
      <alignment horizontal="left"/>
      <protection locked="0"/>
    </xf>
    <xf numFmtId="0" fontId="5" fillId="0" borderId="7" xfId="5" applyNumberFormat="1" applyBorder="1" applyAlignment="1">
      <alignment horizontal="left"/>
      <protection locked="0"/>
    </xf>
    <xf numFmtId="0" fontId="15" fillId="12" borderId="0" xfId="0" applyFont="1" applyFill="1" applyAlignment="1">
      <alignment horizontal="left" indent="27"/>
    </xf>
    <xf numFmtId="0" fontId="22" fillId="12" borderId="0" xfId="0" applyFont="1" applyFill="1" applyAlignment="1">
      <alignment horizontal="left" indent="27"/>
    </xf>
    <xf numFmtId="0" fontId="0" fillId="13" borderId="0" xfId="0" applyFill="1" applyAlignment="1">
      <alignment horizontal="left"/>
    </xf>
    <xf numFmtId="0" fontId="15" fillId="12" borderId="0" xfId="0" applyFont="1" applyFill="1" applyAlignment="1">
      <alignment horizontal="left" indent="33"/>
    </xf>
    <xf numFmtId="0" fontId="22" fillId="12" borderId="0" xfId="0" applyFont="1" applyFill="1" applyAlignment="1">
      <alignment horizontal="left" indent="33"/>
    </xf>
    <xf numFmtId="0" fontId="15" fillId="12" borderId="0" xfId="0" applyFont="1" applyFill="1" applyAlignment="1">
      <alignment horizontal="left" indent="24"/>
    </xf>
    <xf numFmtId="0" fontId="22" fillId="12" borderId="0" xfId="0" applyFont="1" applyFill="1" applyAlignment="1">
      <alignment horizontal="left" indent="24"/>
    </xf>
    <xf numFmtId="0" fontId="23" fillId="13" borderId="3" xfId="0" applyFont="1" applyFill="1" applyBorder="1"/>
    <xf numFmtId="0" fontId="15" fillId="12" borderId="0" xfId="0" applyFont="1" applyFill="1" applyAlignment="1">
      <alignment horizontal="left" indent="31"/>
    </xf>
    <xf numFmtId="0" fontId="22" fillId="12" borderId="0" xfId="0" applyFont="1" applyFill="1" applyAlignment="1">
      <alignment horizontal="left" indent="31"/>
    </xf>
  </cellXfs>
  <cellStyles count="21">
    <cellStyle name="01 Header" xfId="14" xr:uid="{30B51DA1-627F-40A8-8F04-14909C790760}"/>
    <cellStyle name="02 Header" xfId="15" xr:uid="{0693564A-A4A3-45CC-A916-2C9B4FEA7E50}"/>
    <cellStyle name="03 Header" xfId="16" xr:uid="{E2C48963-A0D7-40C8-B619-DA77E3F7A964}"/>
    <cellStyle name="04 Header" xfId="17" xr:uid="{D0A7BD09-B5A6-46E7-899A-AA9A18E90644}"/>
    <cellStyle name="05 Header" xfId="18" xr:uid="{DDE607E3-CE6C-4B5B-929C-1952CADEFC26}"/>
    <cellStyle name="06 Header" xfId="19" xr:uid="{F6E9D2EA-3A69-4A2B-8803-6E63D556B9C7}"/>
    <cellStyle name="Backend Calculation" xfId="8" xr:uid="{00000000-0005-0000-0000-000000000000}"/>
    <cellStyle name="Backend Header" xfId="13" xr:uid="{00000000-0005-0000-0000-000001000000}"/>
    <cellStyle name="Bad" xfId="3" builtinId="27" customBuiltin="1"/>
    <cellStyle name="Calculation" xfId="6" builtinId="22" customBuiltin="1"/>
    <cellStyle name="Explanatory Text" xfId="20" builtinId="53"/>
    <cellStyle name="Good" xfId="2" builtinId="26" customBuiltin="1"/>
    <cellStyle name="Highlight Difference" xfId="9" xr:uid="{00000000-0005-0000-0000-00000B000000}"/>
    <cellStyle name="Input" xfId="5" builtinId="20" customBuiltin="1"/>
    <cellStyle name="Linked Cell" xfId="7" builtinId="24" customBuiltin="1"/>
    <cellStyle name="Neutral" xfId="4" builtinId="28" customBuiltin="1"/>
    <cellStyle name="Normal" xfId="0" builtinId="0"/>
    <cellStyle name="Percent" xfId="1" builtinId="5" customBuiltin="1"/>
    <cellStyle name="Reminder" xfId="10" xr:uid="{00000000-0005-0000-0000-000011000000}"/>
    <cellStyle name="Total Calculation" xfId="11" xr:uid="{00000000-0005-0000-0000-000012000000}"/>
    <cellStyle name="Total Input" xfId="12" xr:uid="{00000000-0005-0000-0000-000013000000}"/>
  </cellStyles>
  <dxfs count="511"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border>
        <bottom style="thin">
          <color indexed="64"/>
        </bottom>
      </border>
    </dxf>
    <dxf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border>
        <bottom style="thin">
          <color indexed="64"/>
        </bottom>
      </border>
    </dxf>
    <dxf>
      <alignment horizontal="center" vertical="bottom" textRotation="0" wrapText="1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i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numFmt numFmtId="0" formatCode="General"/>
      <alignment horizontal="center" vertical="bottom" textRotation="0" wrapText="0" indent="0" justifyLastLine="0" shrinkToFit="0" readingOrder="0"/>
      <border outline="0">
        <right style="thin">
          <color indexed="64"/>
        </right>
      </border>
    </dxf>
    <dxf>
      <font>
        <i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outline="0">
        <left style="thin">
          <color theme="0" tint="-0.34998626667073579"/>
        </left>
        <right/>
      </border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  <border outline="0">
        <right style="thin">
          <color indexed="64"/>
        </right>
      </border>
    </dxf>
    <dxf>
      <numFmt numFmtId="0" formatCode="General"/>
      <alignment horizontal="center" vertical="bottom" textRotation="0" wrapText="0" indent="0" justifyLastLine="0" shrinkToFit="0" readingOrder="0"/>
      <border outline="0">
        <left style="thin">
          <color theme="0" tint="-0.34998626667073579"/>
        </left>
        <right/>
      </border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  <border outline="0">
        <right style="thin">
          <color indexed="64"/>
        </right>
      </border>
    </dxf>
    <dxf>
      <numFmt numFmtId="0" formatCode="General"/>
      <alignment horizontal="center" vertical="bottom" textRotation="0" indent="0" justifyLastLine="0" shrinkToFit="0" readingOrder="0"/>
      <border outline="0">
        <left style="thin">
          <color theme="0" tint="-0.34998626667073579"/>
        </left>
        <right/>
      </border>
    </dxf>
    <dxf>
      <numFmt numFmtId="0" formatCode="General"/>
      <alignment horizontal="left" vertical="bottom" textRotation="0" indent="0" justifyLastLine="0" shrinkToFit="0" readingOrder="0"/>
    </dxf>
    <dxf>
      <numFmt numFmtId="0" formatCode="General"/>
      <alignment horizontal="left" vertical="bottom" textRotation="0" indent="0" justifyLastLine="0" shrinkToFit="0" readingOrder="0"/>
      <border outline="0">
        <right style="thin">
          <color indexed="64"/>
        </right>
      </border>
    </dxf>
    <dxf>
      <numFmt numFmtId="0" formatCode="General"/>
      <border outline="0">
        <left style="thin">
          <color theme="0" tint="-0.34998626667073579"/>
        </left>
        <right/>
      </border>
    </dxf>
    <dxf>
      <numFmt numFmtId="0" formatCode="General"/>
      <alignment horizontal="left" vertical="bottom" textRotation="0" indent="0" justifyLastLine="0" shrinkToFit="0" readingOrder="0"/>
    </dxf>
    <dxf>
      <numFmt numFmtId="0" formatCode="General"/>
      <alignment horizontal="left" vertical="bottom" textRotation="0" indent="0" justifyLastLine="0" shrinkToFit="0" readingOrder="0"/>
      <border outline="0">
        <right style="thin">
          <color indexed="64"/>
        </right>
      </border>
    </dxf>
    <dxf>
      <font>
        <i/>
      </font>
      <numFmt numFmtId="0" formatCode="General"/>
      <alignment horizontal="center" vertical="bottom" textRotation="0" wrapText="0" indent="0" justifyLastLine="0" shrinkToFit="0" readingOrder="0"/>
      <border outline="0">
        <left style="thin">
          <color theme="0" tint="-0.34998626667073579"/>
        </left>
        <right/>
      </border>
    </dxf>
    <dxf>
      <numFmt numFmtId="0" formatCode="General"/>
      <alignment horizontal="left" vertical="bottom" textRotation="0" indent="0" justifyLastLine="0" shrinkToFit="0" readingOrder="0"/>
    </dxf>
    <dxf>
      <numFmt numFmtId="0" formatCode="General"/>
      <alignment horizontal="left" vertical="bottom" textRotation="0" indent="0" justifyLastLine="0" shrinkToFit="0" readingOrder="0"/>
      <border outline="0">
        <right style="thin">
          <color indexed="64"/>
        </right>
      </border>
    </dxf>
    <dxf>
      <font>
        <i/>
      </font>
      <numFmt numFmtId="0" formatCode="General"/>
      <alignment horizontal="center" vertical="bottom" textRotation="0" indent="0" justifyLastLine="0" shrinkToFit="0" readingOrder="0"/>
      <border outline="0">
        <left style="thin">
          <color theme="0" tint="-0.34998626667073579"/>
        </left>
        <right/>
      </border>
    </dxf>
    <dxf>
      <numFmt numFmtId="0" formatCode="General"/>
      <alignment horizontal="left" vertical="bottom" textRotation="0" wrapText="0" indent="0" justifyLastLine="0" shrinkToFit="0" readingOrder="0"/>
    </dxf>
    <dxf>
      <numFmt numFmtId="165" formatCode="mm/dd/yy;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outline="0">
        <right style="thin">
          <color indexed="64"/>
        </right>
      </border>
    </dxf>
    <dxf>
      <numFmt numFmtId="165" formatCode="mm/dd/yy;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general" vertical="bottom" textRotation="0" wrapText="1" indent="0" justifyLastLine="0" shrinkToFit="0" readingOrder="0"/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numFmt numFmtId="0" formatCode="General"/>
      <alignment horizontal="center" vertical="bottom" textRotation="0" wrapText="0" indent="0" justifyLastLine="0" shrinkToFit="0" readingOrder="0"/>
    </dxf>
    <dxf>
      <font>
        <i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numFmt numFmtId="0" formatCode="General"/>
      <alignment horizontal="center" vertical="bottom" textRotation="0" wrapText="0" indent="0" justifyLastLine="0" shrinkToFit="0" readingOrder="0"/>
      <border outline="0">
        <right style="thin">
          <color indexed="64"/>
        </right>
      </border>
    </dxf>
    <dxf>
      <font>
        <i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outline="0">
        <left style="thin">
          <color theme="0" tint="-0.34998626667073579"/>
        </left>
        <right/>
      </border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  <border outline="0">
        <right style="thin">
          <color indexed="64"/>
        </right>
      </border>
    </dxf>
    <dxf>
      <numFmt numFmtId="0" formatCode="General"/>
      <alignment horizontal="center" vertical="bottom" textRotation="0" wrapText="0" indent="0" justifyLastLine="0" shrinkToFit="0" readingOrder="0"/>
      <border outline="0">
        <left style="thin">
          <color theme="0" tint="-0.34998626667073579"/>
        </left>
        <right/>
      </border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  <border outline="0">
        <right style="thin">
          <color indexed="64"/>
        </right>
      </border>
    </dxf>
    <dxf>
      <numFmt numFmtId="0" formatCode="General"/>
      <alignment horizontal="center" vertical="bottom" textRotation="0" indent="0" justifyLastLine="0" shrinkToFit="0" readingOrder="0"/>
      <border outline="0">
        <left style="thin">
          <color theme="0" tint="-0.34998626667073579"/>
        </left>
        <right/>
      </border>
    </dxf>
    <dxf>
      <numFmt numFmtId="0" formatCode="General"/>
      <alignment horizontal="left" vertical="bottom" textRotation="0" indent="0" justifyLastLine="0" shrinkToFit="0" readingOrder="0"/>
    </dxf>
    <dxf>
      <numFmt numFmtId="0" formatCode="General"/>
      <alignment horizontal="left" vertical="bottom" textRotation="0" indent="0" justifyLastLine="0" shrinkToFit="0" readingOrder="0"/>
      <border outline="0">
        <right style="thin">
          <color indexed="64"/>
        </right>
      </border>
    </dxf>
    <dxf>
      <numFmt numFmtId="0" formatCode="General"/>
      <border outline="0">
        <left style="thin">
          <color theme="0" tint="-0.34998626667073579"/>
        </left>
        <right/>
      </border>
    </dxf>
    <dxf>
      <numFmt numFmtId="0" formatCode="General"/>
      <alignment horizontal="left" vertical="bottom" textRotation="0" indent="0" justifyLastLine="0" shrinkToFit="0" readingOrder="0"/>
    </dxf>
    <dxf>
      <numFmt numFmtId="0" formatCode="General"/>
      <alignment horizontal="left" vertical="bottom" textRotation="0" indent="0" justifyLastLine="0" shrinkToFit="0" readingOrder="0"/>
      <border outline="0">
        <right style="thin">
          <color indexed="64"/>
        </right>
      </border>
    </dxf>
    <dxf>
      <font>
        <i/>
      </font>
      <numFmt numFmtId="0" formatCode="General"/>
      <alignment horizontal="center" vertical="bottom" textRotation="0" wrapText="0" indent="0" justifyLastLine="0" shrinkToFit="0" readingOrder="0"/>
      <border outline="0">
        <left style="thin">
          <color theme="0" tint="-0.34998626667073579"/>
        </left>
        <right/>
      </border>
    </dxf>
    <dxf>
      <numFmt numFmtId="0" formatCode="General"/>
      <alignment horizontal="left" vertical="bottom" textRotation="0" indent="0" justifyLastLine="0" shrinkToFit="0" readingOrder="0"/>
    </dxf>
    <dxf>
      <numFmt numFmtId="0" formatCode="General"/>
      <alignment horizontal="left" vertical="bottom" textRotation="0" indent="0" justifyLastLine="0" shrinkToFit="0" readingOrder="0"/>
      <border outline="0">
        <right style="thin">
          <color indexed="64"/>
        </right>
      </border>
    </dxf>
    <dxf>
      <font>
        <i/>
      </font>
      <numFmt numFmtId="0" formatCode="General"/>
      <alignment horizontal="center" vertical="bottom" textRotation="0" indent="0" justifyLastLine="0" shrinkToFit="0" readingOrder="0"/>
      <border outline="0">
        <left style="thin">
          <color theme="0" tint="-0.34998626667073579"/>
        </left>
        <right/>
      </border>
    </dxf>
    <dxf>
      <numFmt numFmtId="0" formatCode="General"/>
      <alignment horizontal="left" vertical="bottom" textRotation="0" wrapText="0" indent="0" justifyLastLine="0" shrinkToFit="0" readingOrder="0"/>
    </dxf>
    <dxf>
      <numFmt numFmtId="165" formatCode="mm/dd/yy;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outline="0">
        <right style="thin">
          <color indexed="64"/>
        </right>
      </border>
    </dxf>
    <dxf>
      <numFmt numFmtId="165" formatCode="mm/dd/yy;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general" vertical="bottom" textRotation="0" wrapText="1" indent="0" justifyLastLine="0" shrinkToFit="0" readingOrder="0"/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alignment horizontal="left" vertical="bottom" textRotation="0" wrapText="0" indent="0" justifyLastLine="0" shrinkToFit="0" readingOrder="0"/>
    </dxf>
    <dxf>
      <numFmt numFmtId="165" formatCode="mm/dd/yy;@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indent="0" justifyLastLine="0" shrinkToFit="0" readingOrder="0"/>
    </dxf>
    <dxf>
      <numFmt numFmtId="165" formatCode="mm/dd/yy;@"/>
      <alignment horizontal="left" vertical="bottom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indent="0" justifyLastLine="0" shrinkToFit="0" readingOrder="0"/>
      <border outline="0">
        <left/>
        <right style="thin">
          <color indexed="64"/>
        </right>
      </border>
    </dxf>
    <dxf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i/>
      </font>
      <numFmt numFmtId="0" formatCode="General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i/>
      </font>
      <numFmt numFmtId="0" formatCode="General"/>
      <alignment horizontal="center" vertical="bottom" textRotation="0" indent="0" justifyLastLine="0" shrinkToFit="0" readingOrder="0"/>
      <border outline="0">
        <left style="thin">
          <color theme="0" tint="-0.34998626667073579"/>
        </left>
        <right/>
      </border>
    </dxf>
    <dxf>
      <numFmt numFmtId="0" formatCode="General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</border>
    </dxf>
    <dxf>
      <alignment horizontal="left" vertical="bottom" textRotation="0" wrapText="0" indent="0" justifyLastLine="0" shrinkToFit="0" readingOrder="0"/>
    </dxf>
    <dxf>
      <numFmt numFmtId="165" formatCode="mm/dd/yy;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outline="0">
        <right style="thin">
          <color theme="0" tint="-0.34998626667073579"/>
        </right>
      </border>
    </dxf>
    <dxf>
      <alignment horizontal="left" vertical="bottom" textRotation="0" wrapText="0" indent="0" justifyLastLine="0" shrinkToFit="0" readingOrder="0"/>
    </dxf>
    <dxf>
      <numFmt numFmtId="165" formatCode="mm/dd/yy;@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general" vertical="bottom" textRotation="0" wrapText="1" indent="0" justifyLastLine="0" shrinkToFit="0" readingOrder="0"/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alignment horizontal="left" vertical="bottom" textRotation="0" wrapText="0" indent="0" justifyLastLine="0" shrinkToFit="0" readingOrder="0"/>
    </dxf>
    <dxf>
      <numFmt numFmtId="165" formatCode="mm/dd/yy;@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indent="0" justifyLastLine="0" shrinkToFit="0" readingOrder="0"/>
    </dxf>
    <dxf>
      <numFmt numFmtId="165" formatCode="mm/dd/yy;@"/>
      <alignment horizontal="left" vertical="bottom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indent="0" justifyLastLine="0" shrinkToFit="0" readingOrder="0"/>
      <border outline="0">
        <left/>
        <right style="thin">
          <color indexed="64"/>
        </right>
      </border>
    </dxf>
    <dxf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i/>
      </font>
      <numFmt numFmtId="0" formatCode="General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i/>
      </font>
      <numFmt numFmtId="0" formatCode="General"/>
      <alignment horizontal="center" vertical="bottom" textRotation="0" indent="0" justifyLastLine="0" shrinkToFit="0" readingOrder="0"/>
      <border outline="0">
        <left style="thin">
          <color theme="0" tint="-0.34998626667073579"/>
        </left>
        <right/>
      </border>
    </dxf>
    <dxf>
      <numFmt numFmtId="0" formatCode="General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</border>
    </dxf>
    <dxf>
      <alignment horizontal="left" vertical="bottom" textRotation="0" wrapText="0" indent="0" justifyLastLine="0" shrinkToFit="0" readingOrder="0"/>
    </dxf>
    <dxf>
      <numFmt numFmtId="165" formatCode="mm/dd/yy;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outline="0">
        <right style="thin">
          <color theme="0" tint="-0.34998626667073579"/>
        </right>
      </border>
    </dxf>
    <dxf>
      <alignment horizontal="left" vertical="bottom" textRotation="0" wrapText="0" indent="0" justifyLastLine="0" shrinkToFit="0" readingOrder="0"/>
    </dxf>
    <dxf>
      <numFmt numFmtId="165" formatCode="mm/dd/yy;@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general" vertical="bottom" textRotation="0" wrapText="1" indent="0" justifyLastLine="0" shrinkToFit="0" readingOrder="0"/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indent="0" justifyLastLine="0" shrinkToFit="0" readingOrder="0"/>
      <border outline="0">
        <right style="thin">
          <color indexed="64"/>
        </right>
      </border>
    </dxf>
    <dxf>
      <alignment horizontal="left" vertical="bottom" textRotation="0" wrapText="0" indent="0" justifyLastLine="0" shrinkToFit="0" readingOrder="0"/>
    </dxf>
    <dxf>
      <font>
        <i/>
      </font>
      <numFmt numFmtId="0" formatCode="General"/>
      <alignment horizontal="center" vertical="bottom" textRotation="0" wrapText="0" indent="0" justifyLastLine="0" shrinkToFit="0" readingOrder="0"/>
      <border outline="0">
        <left style="thin">
          <color theme="0" tint="-0.34998626667073579"/>
        </left>
        <right/>
      </border>
    </dxf>
    <dxf>
      <numFmt numFmtId="0" formatCode="General"/>
      <alignment horizontal="left" vertical="bottom" textRotation="0" indent="0" justifyLastLine="0" shrinkToFit="0" readingOrder="0"/>
    </dxf>
    <dxf>
      <numFmt numFmtId="0" formatCode="General"/>
      <alignment horizontal="left" vertical="bottom" textRotation="0" indent="0" justifyLastLine="0" shrinkToFit="0" readingOrder="0"/>
      <border outline="0">
        <right style="thin">
          <color indexed="64"/>
        </right>
      </border>
    </dxf>
    <dxf>
      <alignment horizontal="left" vertical="bottom" textRotation="0" wrapText="0" indent="0" justifyLastLine="0" shrinkToFit="0" readingOrder="0"/>
    </dxf>
    <dxf>
      <font>
        <i/>
      </font>
      <numFmt numFmtId="0" formatCode="General"/>
      <alignment horizontal="center" vertical="bottom" textRotation="0" indent="0" justifyLastLine="0" shrinkToFit="0" readingOrder="0"/>
      <border outline="0">
        <left style="thin">
          <color theme="0" tint="-0.34998626667073579"/>
        </left>
        <right/>
      </border>
    </dxf>
    <dxf>
      <numFmt numFmtId="0" formatCode="General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5" formatCode="mm/dd/yy;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outline="0">
        <right style="thin">
          <color indexed="64"/>
        </right>
      </border>
    </dxf>
    <dxf>
      <alignment horizontal="left" vertical="bottom" textRotation="0" wrapText="0" indent="0" justifyLastLine="0" shrinkToFit="0" readingOrder="0"/>
    </dxf>
    <dxf>
      <numFmt numFmtId="165" formatCode="mm/dd/yy;@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general" vertical="bottom" textRotation="0" wrapText="1" indent="0" justifyLastLine="0" shrinkToFit="0" readingOrder="0"/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indent="0" justifyLastLine="0" shrinkToFit="0" readingOrder="0"/>
      <border outline="0">
        <right style="thin">
          <color indexed="64"/>
        </right>
      </border>
    </dxf>
    <dxf>
      <alignment horizontal="left" vertical="bottom" textRotation="0" wrapText="0" indent="0" justifyLastLine="0" shrinkToFit="0" readingOrder="0"/>
    </dxf>
    <dxf>
      <font>
        <i/>
      </font>
      <numFmt numFmtId="0" formatCode="General"/>
      <alignment horizontal="center" vertical="bottom" textRotation="0" wrapText="0" indent="0" justifyLastLine="0" shrinkToFit="0" readingOrder="0"/>
      <border outline="0">
        <left style="thin">
          <color theme="0" tint="-0.34998626667073579"/>
        </left>
        <right/>
      </border>
    </dxf>
    <dxf>
      <numFmt numFmtId="0" formatCode="General"/>
      <alignment horizontal="left" vertical="bottom" textRotation="0" indent="0" justifyLastLine="0" shrinkToFit="0" readingOrder="0"/>
    </dxf>
    <dxf>
      <numFmt numFmtId="0" formatCode="General"/>
      <alignment horizontal="left" vertical="bottom" textRotation="0" indent="0" justifyLastLine="0" shrinkToFit="0" readingOrder="0"/>
      <border outline="0">
        <right style="thin">
          <color indexed="64"/>
        </right>
      </border>
    </dxf>
    <dxf>
      <alignment horizontal="left" vertical="bottom" textRotation="0" wrapText="0" indent="0" justifyLastLine="0" shrinkToFit="0" readingOrder="0"/>
    </dxf>
    <dxf>
      <font>
        <i/>
      </font>
      <numFmt numFmtId="0" formatCode="General"/>
      <alignment horizontal="center" vertical="bottom" textRotation="0" indent="0" justifyLastLine="0" shrinkToFit="0" readingOrder="0"/>
      <border outline="0">
        <left style="thin">
          <color theme="0" tint="-0.34998626667073579"/>
        </left>
        <right/>
      </border>
    </dxf>
    <dxf>
      <numFmt numFmtId="0" formatCode="General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5" formatCode="mm/dd/yy;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outline="0">
        <right style="thin">
          <color indexed="64"/>
        </right>
      </border>
    </dxf>
    <dxf>
      <alignment horizontal="left" vertical="bottom" textRotation="0" wrapText="0" indent="0" justifyLastLine="0" shrinkToFit="0" readingOrder="0"/>
    </dxf>
    <dxf>
      <numFmt numFmtId="165" formatCode="mm/dd/yy;@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general" vertical="bottom" textRotation="0" wrapText="1" indent="0" justifyLastLine="0" shrinkToFit="0" readingOrder="0"/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i/>
      </font>
      <numFmt numFmtId="0" formatCode="General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alignment horizontal="left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  <border outline="0">
        <right style="thin">
          <color indexed="64"/>
        </right>
      </border>
    </dxf>
    <dxf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outline="0">
        <left style="thin">
          <color theme="0" tint="-0.34998626667073579"/>
        </left>
        <right/>
      </border>
    </dxf>
    <dxf>
      <alignment horizontal="left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  <border outline="0">
        <right style="thin">
          <color indexed="64"/>
        </right>
      </border>
    </dxf>
    <dxf>
      <alignment horizontal="left" vertical="bottom" textRotation="0" wrapText="0" indent="0" justifyLastLine="0" shrinkToFit="0" readingOrder="0"/>
    </dxf>
    <dxf>
      <numFmt numFmtId="0" formatCode="General"/>
      <border outline="0">
        <left style="thin">
          <color theme="0" tint="-0.34998626667073579"/>
        </left>
        <right/>
      </border>
    </dxf>
    <dxf>
      <alignment horizontal="left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border outline="0">
        <right style="thin">
          <color indexed="64"/>
        </right>
      </border>
    </dxf>
    <dxf>
      <alignment horizontal="left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indent="0" justifyLastLine="0" shrinkToFit="0" readingOrder="0"/>
    </dxf>
    <dxf>
      <numFmt numFmtId="3" formatCode="#,##0"/>
      <alignment horizontal="center" vertical="bottom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6" formatCode="&quot;$&quot;#,##0.00"/>
      <border outline="0">
        <right style="thin">
          <color indexed="64"/>
        </right>
      </border>
    </dxf>
    <dxf>
      <alignment horizontal="left" vertical="bottom" textRotation="0" wrapText="0" indent="0" justifyLastLine="0" shrinkToFit="0" readingOrder="0"/>
    </dxf>
    <dxf>
      <font>
        <i/>
      </font>
      <numFmt numFmtId="0" formatCode="General"/>
      <alignment horizontal="center" vertical="bottom" textRotation="0" wrapText="0" indent="0" justifyLastLine="0" shrinkToFit="0" readingOrder="0"/>
      <border outline="0">
        <left style="thin">
          <color theme="0" tint="-0.34998626667073579"/>
        </left>
      </border>
    </dxf>
    <dxf>
      <numFmt numFmtId="166" formatCode="&quot;$&quot;#,##0.00"/>
      <alignment horizontal="right" vertical="bottom" textRotation="0" indent="0" justifyLastLine="0" shrinkToFit="0" readingOrder="0"/>
    </dxf>
    <dxf>
      <numFmt numFmtId="166" formatCode="&quot;$&quot;#,##0.00"/>
      <alignment horizontal="right" vertical="bottom" textRotation="0" indent="0" justifyLastLine="0" shrinkToFit="0" readingOrder="0"/>
      <border outline="0">
        <right style="thin">
          <color indexed="64"/>
        </right>
      </border>
    </dxf>
    <dxf>
      <alignment horizontal="left" vertical="bottom" textRotation="0" wrapText="0" indent="0" justifyLastLine="0" shrinkToFit="0" readingOrder="0"/>
    </dxf>
    <dxf>
      <font>
        <i/>
      </font>
      <numFmt numFmtId="0" formatCode="General"/>
      <alignment horizontal="center" vertical="bottom" textRotation="0" indent="0" justifyLastLine="0" shrinkToFit="0" readingOrder="0"/>
      <border outline="0">
        <left style="thin">
          <color theme="0" tint="-0.34998626667073579"/>
        </left>
        <right/>
      </border>
    </dxf>
    <dxf>
      <numFmt numFmtId="13" formatCode="0%"/>
      <alignment horizontal="righ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outline="0">
        <left/>
        <right style="thin">
          <color indexed="64"/>
        </right>
      </border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5" formatCode="mm/dd/yy;@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general" vertical="bottom" textRotation="0" wrapText="1" indent="0" justifyLastLine="0" shrinkToFit="0" readingOrder="0"/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i/>
      </font>
      <numFmt numFmtId="0" formatCode="General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alignment horizontal="left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  <border outline="0">
        <right style="thin">
          <color indexed="64"/>
        </right>
      </border>
    </dxf>
    <dxf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outline="0">
        <left style="thin">
          <color theme="0" tint="-0.34998626667073579"/>
        </left>
        <right/>
      </border>
    </dxf>
    <dxf>
      <alignment horizontal="left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  <border outline="0">
        <right style="thin">
          <color indexed="64"/>
        </right>
      </border>
    </dxf>
    <dxf>
      <alignment horizontal="left" vertical="bottom" textRotation="0" wrapText="0" indent="0" justifyLastLine="0" shrinkToFit="0" readingOrder="0"/>
    </dxf>
    <dxf>
      <numFmt numFmtId="0" formatCode="General"/>
      <border outline="0">
        <left style="thin">
          <color theme="0" tint="-0.34998626667073579"/>
        </left>
        <right/>
      </border>
    </dxf>
    <dxf>
      <alignment horizontal="left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border outline="0">
        <right style="thin">
          <color indexed="64"/>
        </right>
      </border>
    </dxf>
    <dxf>
      <alignment horizontal="left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indent="0" justifyLastLine="0" shrinkToFit="0" readingOrder="0"/>
    </dxf>
    <dxf>
      <numFmt numFmtId="3" formatCode="#,##0"/>
      <alignment horizontal="center" vertical="bottom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6" formatCode="&quot;$&quot;#,##0.00"/>
      <border outline="0">
        <right style="thin">
          <color indexed="64"/>
        </right>
      </border>
    </dxf>
    <dxf>
      <alignment horizontal="left" vertical="bottom" textRotation="0" wrapText="0" indent="0" justifyLastLine="0" shrinkToFit="0" readingOrder="0"/>
    </dxf>
    <dxf>
      <font>
        <i/>
      </font>
      <numFmt numFmtId="0" formatCode="General"/>
      <alignment horizontal="center" vertical="bottom" textRotation="0" wrapText="0" indent="0" justifyLastLine="0" shrinkToFit="0" readingOrder="0"/>
      <border outline="0">
        <left style="thin">
          <color theme="0" tint="-0.34998626667073579"/>
        </left>
      </border>
    </dxf>
    <dxf>
      <numFmt numFmtId="166" formatCode="&quot;$&quot;#,##0.00"/>
      <alignment horizontal="right" vertical="bottom" textRotation="0" indent="0" justifyLastLine="0" shrinkToFit="0" readingOrder="0"/>
    </dxf>
    <dxf>
      <numFmt numFmtId="166" formatCode="&quot;$&quot;#,##0.00"/>
      <alignment horizontal="right" vertical="bottom" textRotation="0" indent="0" justifyLastLine="0" shrinkToFit="0" readingOrder="0"/>
      <border outline="0">
        <right style="thin">
          <color indexed="64"/>
        </right>
      </border>
    </dxf>
    <dxf>
      <alignment horizontal="left" vertical="bottom" textRotation="0" wrapText="0" indent="0" justifyLastLine="0" shrinkToFit="0" readingOrder="0"/>
    </dxf>
    <dxf>
      <font>
        <i/>
      </font>
      <numFmt numFmtId="0" formatCode="General"/>
      <alignment horizontal="center" vertical="bottom" textRotation="0" indent="0" justifyLastLine="0" shrinkToFit="0" readingOrder="0"/>
      <border outline="0">
        <left style="thin">
          <color theme="0" tint="-0.34998626667073579"/>
        </left>
        <right/>
      </border>
    </dxf>
    <dxf>
      <numFmt numFmtId="13" formatCode="0%"/>
      <alignment horizontal="righ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outline="0">
        <left/>
        <right style="thin">
          <color indexed="64"/>
        </right>
      </border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5" formatCode="mm/dd/yy;@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general" vertical="bottom" textRotation="0" wrapText="1" indent="0" justifyLastLine="0" shrinkToFit="0" readingOrder="0"/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alignment horizontal="center" vertical="bottom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i/>
      </font>
      <numFmt numFmtId="0" formatCode="General"/>
      <alignment horizontal="center" vertical="bottom" textRotation="0" indent="0" justifyLastLine="0" shrinkToFit="0" readingOrder="0"/>
      <border outline="0">
        <left style="thin">
          <color theme="0" tint="-0.34998626667073579"/>
        </left>
        <right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</border>
    </dxf>
    <dxf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general" vertical="bottom" textRotation="0" wrapText="1" indent="0" justifyLastLine="0" shrinkToFit="0" readingOrder="0"/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alignment horizontal="center" vertical="bottom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i/>
      </font>
      <numFmt numFmtId="0" formatCode="General"/>
      <alignment horizontal="center" vertical="bottom" textRotation="0" indent="0" justifyLastLine="0" shrinkToFit="0" readingOrder="0"/>
      <border outline="0">
        <left style="thin">
          <color theme="0" tint="-0.34998626667073579"/>
        </left>
        <right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</border>
    </dxf>
    <dxf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general" vertical="bottom" textRotation="0" wrapText="1" indent="0" justifyLastLine="0" shrinkToFit="0" readingOrder="0"/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alignment horizontal="left" vertical="bottom" textRotation="0" indent="0" justifyLastLine="0" shrinkToFit="0" readingOrder="0"/>
      <border outline="0">
        <right style="thin">
          <color indexed="64"/>
        </right>
      </border>
    </dxf>
    <dxf>
      <alignment horizontal="left" vertical="bottom" textRotation="0" wrapText="0" indent="0" justifyLastLine="0" shrinkToFit="0" readingOrder="0"/>
    </dxf>
    <dxf>
      <font>
        <i/>
      </font>
      <numFmt numFmtId="0" formatCode="General"/>
      <alignment horizontal="center" vertical="bottom" textRotation="0" indent="0" justifyLastLine="0" shrinkToFit="0" readingOrder="0"/>
      <border>
        <left style="thin">
          <color theme="0" tint="-0.34998626667073579"/>
        </left>
        <right/>
      </border>
    </dxf>
    <dxf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</border>
    </dxf>
    <dxf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general" vertical="bottom" textRotation="0" wrapText="1" indent="0" justifyLastLine="0" shrinkToFit="0" readingOrder="0"/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alignment horizontal="left" vertical="bottom" textRotation="0" indent="0" justifyLastLine="0" shrinkToFit="0" readingOrder="0"/>
      <border outline="0">
        <right style="thin">
          <color indexed="64"/>
        </right>
      </border>
    </dxf>
    <dxf>
      <alignment horizontal="left" vertical="bottom" textRotation="0" wrapText="0" indent="0" justifyLastLine="0" shrinkToFit="0" readingOrder="0"/>
    </dxf>
    <dxf>
      <font>
        <i/>
      </font>
      <numFmt numFmtId="0" formatCode="General"/>
      <alignment horizontal="center" vertical="bottom" textRotation="0" indent="0" justifyLastLine="0" shrinkToFit="0" readingOrder="0"/>
      <border>
        <left style="thin">
          <color theme="0" tint="-0.34998626667073579"/>
        </left>
        <right/>
      </border>
    </dxf>
    <dxf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</border>
    </dxf>
    <dxf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general" vertical="bottom" textRotation="0" wrapText="1" indent="0" justifyLastLine="0" shrinkToFit="0" readingOrder="0"/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ill>
        <patternFill patternType="solid">
          <fgColor theme="0" tint="-0.1498458815271462"/>
          <bgColor rgb="FFFFDCFF"/>
        </patternFill>
      </fill>
    </dxf>
    <dxf>
      <fill>
        <patternFill patternType="solid">
          <fgColor theme="0" tint="-0.1498458815271462"/>
          <bgColor rgb="FFFFDCFF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0691854609822"/>
          <bgColor rgb="FFA9E5D4"/>
        </patternFill>
      </fill>
    </dxf>
    <dxf>
      <fill>
        <patternFill patternType="solid">
          <fgColor theme="0" tint="-0.14990691854609822"/>
          <bgColor rgb="FFA9E5D4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3743705557422"/>
          <bgColor rgb="FFFFFFC8"/>
        </patternFill>
      </fill>
    </dxf>
    <dxf>
      <fill>
        <patternFill patternType="solid">
          <fgColor theme="0" tint="-0.14993743705557422"/>
          <bgColor rgb="FFFFFFC8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3743705557422"/>
          <bgColor rgb="FFE8D3AC"/>
        </patternFill>
      </fill>
    </dxf>
    <dxf>
      <fill>
        <patternFill patternType="solid">
          <fgColor theme="0" tint="-0.14993743705557422"/>
          <bgColor rgb="FFE8D3AC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0691854609822"/>
          <bgColor rgb="FFF9CAD8"/>
        </patternFill>
      </fill>
    </dxf>
    <dxf>
      <fill>
        <patternFill patternType="solid">
          <fgColor theme="0" tint="-0.14990691854609822"/>
          <bgColor rgb="FFF9CAD8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0691854609822"/>
          <bgColor rgb="FFF6EC9C"/>
        </patternFill>
      </fill>
    </dxf>
    <dxf>
      <fill>
        <patternFill patternType="solid">
          <fgColor theme="0" tint="-0.14990691854609822"/>
          <bgColor rgb="FFF6EC9C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6795556505021"/>
          <bgColor theme="2" tint="-9.9948118533890809E-2"/>
        </patternFill>
      </fill>
    </dxf>
    <dxf>
      <fill>
        <patternFill patternType="solid">
          <fgColor theme="0" tint="-0.14996795556505021"/>
          <bgColor theme="2" tint="-9.9948118533890809E-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i val="0"/>
        <color auto="1"/>
      </font>
      <border>
        <top style="thin">
          <color theme="9"/>
        </top>
      </border>
    </dxf>
    <dxf>
      <font>
        <b/>
        <i val="0"/>
        <color auto="1"/>
      </font>
      <border>
        <top/>
        <bottom style="thin">
          <color theme="9"/>
        </bottom>
      </border>
    </dxf>
    <dxf>
      <font>
        <b val="0"/>
        <i val="0"/>
        <color auto="1"/>
      </font>
      <border>
        <top style="thin">
          <color theme="9"/>
        </top>
        <bottom style="thin">
          <color theme="9"/>
        </bottom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color theme="8" tint="-0.249977111117893"/>
      </font>
    </dxf>
    <dxf>
      <font>
        <b/>
        <color theme="8" tint="-0.249977111117893"/>
      </font>
    </dxf>
    <dxf>
      <font>
        <b/>
        <i val="0"/>
        <color auto="1"/>
      </font>
      <border>
        <top style="thin">
          <color theme="8"/>
        </top>
      </border>
    </dxf>
    <dxf>
      <font>
        <b/>
        <i val="0"/>
        <color auto="1"/>
      </font>
      <border>
        <top/>
        <bottom style="thin">
          <color theme="8"/>
        </bottom>
      </border>
    </dxf>
    <dxf>
      <font>
        <color auto="1"/>
      </font>
      <border>
        <top style="thin">
          <color theme="8"/>
        </top>
        <bottom style="thin">
          <color theme="8"/>
        </bottom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/>
        <color theme="7" tint="-0.249977111117893"/>
      </font>
    </dxf>
    <dxf>
      <font>
        <b/>
        <color theme="7" tint="-0.249977111117893"/>
      </font>
    </dxf>
    <dxf>
      <font>
        <b/>
        <i val="0"/>
        <color auto="1"/>
      </font>
      <border>
        <top style="thin">
          <color theme="7"/>
        </top>
      </border>
    </dxf>
    <dxf>
      <font>
        <b/>
        <i val="0"/>
        <color auto="1"/>
      </font>
      <border>
        <top/>
        <bottom style="thin">
          <color theme="7"/>
        </bottom>
      </border>
    </dxf>
    <dxf>
      <font>
        <b val="0"/>
        <i val="0"/>
        <color auto="1"/>
      </font>
      <border>
        <top style="thin">
          <color theme="7"/>
        </top>
        <bottom style="thin">
          <color theme="7"/>
        </bottom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i val="0"/>
        <color auto="1"/>
      </font>
      <border>
        <top style="thin">
          <color theme="6"/>
        </top>
      </border>
    </dxf>
    <dxf>
      <font>
        <b/>
        <i val="0"/>
        <color auto="1"/>
      </font>
      <border>
        <top/>
        <bottom style="thin">
          <color theme="6"/>
        </bottom>
      </border>
    </dxf>
    <dxf>
      <font>
        <color auto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color theme="5" tint="-0.249977111117893"/>
      </font>
    </dxf>
    <dxf>
      <font>
        <b/>
        <color theme="5" tint="-0.249977111117893"/>
      </font>
    </dxf>
    <dxf>
      <font>
        <b/>
        <i val="0"/>
        <color auto="1"/>
      </font>
      <border>
        <top style="thin">
          <color theme="5"/>
        </top>
      </border>
    </dxf>
    <dxf>
      <font>
        <b/>
        <i val="0"/>
        <color auto="1"/>
      </font>
      <border>
        <top/>
        <bottom style="thin">
          <color theme="5"/>
        </bottom>
      </border>
    </dxf>
    <dxf>
      <font>
        <color auto="1"/>
      </font>
      <border>
        <top style="thin">
          <color theme="5"/>
        </top>
        <bottom style="thin">
          <color theme="5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i val="0"/>
        <color auto="1"/>
      </font>
      <border>
        <top style="thin">
          <color theme="4"/>
        </top>
      </border>
    </dxf>
    <dxf>
      <font>
        <b/>
        <i val="0"/>
        <color auto="1"/>
      </font>
      <border>
        <top/>
        <bottom style="thin">
          <color theme="4"/>
        </bottom>
      </border>
    </dxf>
    <dxf>
      <font>
        <color auto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i val="0"/>
        <color theme="0"/>
      </font>
      <fill>
        <patternFill>
          <bgColor theme="9"/>
        </patternFill>
      </fill>
      <border>
        <top style="thin">
          <color theme="9"/>
        </top>
      </border>
    </dxf>
    <dxf>
      <font>
        <b/>
        <i val="0"/>
        <color theme="0"/>
      </font>
      <fill>
        <patternFill>
          <bgColor theme="9"/>
        </patternFill>
      </fill>
      <border>
        <top/>
        <bottom style="thin">
          <color theme="9"/>
        </bottom>
      </border>
    </dxf>
    <dxf>
      <font>
        <b val="0"/>
        <i val="0"/>
        <color auto="1"/>
      </font>
      <border>
        <top style="thin">
          <color theme="9"/>
        </top>
        <bottom style="thin">
          <color theme="9"/>
        </bottom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color theme="8" tint="-0.249977111117893"/>
      </font>
    </dxf>
    <dxf>
      <font>
        <b/>
        <color theme="8" tint="-0.249977111117893"/>
      </font>
    </dxf>
    <dxf>
      <font>
        <b/>
        <i val="0"/>
        <color theme="0"/>
      </font>
      <fill>
        <patternFill>
          <bgColor theme="8"/>
        </patternFill>
      </fill>
      <border>
        <top style="thin">
          <color theme="8"/>
        </top>
      </border>
    </dxf>
    <dxf>
      <font>
        <b/>
        <i val="0"/>
        <color theme="0"/>
      </font>
      <fill>
        <patternFill>
          <bgColor theme="8"/>
        </patternFill>
      </fill>
      <border>
        <top/>
        <bottom style="thin">
          <color theme="8"/>
        </bottom>
      </border>
    </dxf>
    <dxf>
      <font>
        <color auto="1"/>
      </font>
      <border>
        <top style="thin">
          <color theme="8"/>
        </top>
        <bottom style="thin">
          <color theme="8"/>
        </bottom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/>
        <color theme="7" tint="-0.249977111117893"/>
      </font>
    </dxf>
    <dxf>
      <font>
        <b/>
        <color theme="7" tint="-0.249977111117893"/>
      </font>
    </dxf>
    <dxf>
      <font>
        <b/>
        <i val="0"/>
        <color theme="0"/>
      </font>
      <fill>
        <patternFill>
          <bgColor theme="7"/>
        </patternFill>
      </fill>
      <border>
        <top style="thin">
          <color theme="7"/>
        </top>
      </border>
    </dxf>
    <dxf>
      <font>
        <b/>
        <i val="0"/>
        <color theme="0"/>
      </font>
      <fill>
        <patternFill>
          <bgColor theme="7"/>
        </patternFill>
      </fill>
      <border>
        <top/>
        <bottom style="thin">
          <color theme="7"/>
        </bottom>
      </border>
    </dxf>
    <dxf>
      <font>
        <b val="0"/>
        <i val="0"/>
        <color auto="1"/>
      </font>
      <border>
        <top style="thin">
          <color theme="7"/>
        </top>
        <bottom style="thin">
          <color theme="7"/>
        </bottom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i val="0"/>
        <color theme="0"/>
      </font>
      <fill>
        <patternFill>
          <bgColor theme="6"/>
        </patternFill>
      </fill>
      <border>
        <top style="thin">
          <color theme="6"/>
        </top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n">
          <color theme="6"/>
        </bottom>
      </border>
    </dxf>
    <dxf>
      <font>
        <color auto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color theme="5" tint="-0.249977111117893"/>
      </font>
    </dxf>
    <dxf>
      <font>
        <b/>
        <color theme="5" tint="-0.249977111117893"/>
      </font>
    </dxf>
    <dxf>
      <font>
        <b/>
        <i val="0"/>
        <color theme="0"/>
      </font>
      <fill>
        <patternFill>
          <bgColor theme="5"/>
        </patternFill>
      </fill>
      <border>
        <top style="thin">
          <color theme="5"/>
        </top>
      </border>
    </dxf>
    <dxf>
      <font>
        <b/>
        <i val="0"/>
        <color theme="0"/>
      </font>
      <fill>
        <patternFill>
          <bgColor theme="5"/>
        </patternFill>
      </fill>
      <border>
        <top/>
        <bottom style="thin">
          <color theme="5"/>
        </bottom>
      </border>
    </dxf>
    <dxf>
      <font>
        <color auto="1"/>
      </font>
      <border>
        <top style="thin">
          <color theme="5"/>
        </top>
        <bottom style="thin">
          <color theme="5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i val="0"/>
        <color theme="0"/>
      </font>
      <fill>
        <patternFill>
          <bgColor theme="4"/>
        </patternFill>
      </fill>
      <border>
        <top style="thin">
          <color theme="4"/>
        </top>
      </border>
    </dxf>
    <dxf>
      <font>
        <b/>
        <i val="0"/>
        <color theme="0"/>
      </font>
      <fill>
        <patternFill>
          <bgColor theme="4"/>
        </patternFill>
      </fill>
      <border>
        <top/>
        <bottom style="thin">
          <color theme="4"/>
        </bottom>
      </border>
    </dxf>
    <dxf>
      <font>
        <color auto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i val="0"/>
        <color theme="0"/>
      </font>
      <fill>
        <patternFill>
          <bgColor theme="1"/>
        </patternFill>
      </fill>
      <border>
        <top style="thin">
          <color theme="1"/>
        </top>
      </border>
    </dxf>
    <dxf>
      <font>
        <b/>
        <i val="0"/>
        <color theme="0"/>
      </font>
      <fill>
        <patternFill>
          <bgColor theme="1"/>
        </patternFill>
      </fill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</dxfs>
  <tableStyles count="21" defaultTableStyle="Shir Style 01 Gray" defaultPivotStyle="PivotStyleLight16">
    <tableStyle name="Excel Minimal 01 Gray" pivot="0" count="7" xr9:uid="{6759145B-E672-4B6B-911F-C85AA70ABB8C}">
      <tableStyleElement type="wholeTable" dxfId="510"/>
      <tableStyleElement type="headerRow" dxfId="509"/>
      <tableStyleElement type="totalRow" dxfId="508"/>
      <tableStyleElement type="firstColumn" dxfId="507"/>
      <tableStyleElement type="lastColumn" dxfId="506"/>
      <tableStyleElement type="firstRowStripe" dxfId="505"/>
      <tableStyleElement type="firstColumnStripe" dxfId="504"/>
    </tableStyle>
    <tableStyle name="Excel Minimal 02 Blue" pivot="0" count="7" xr9:uid="{AD831262-8318-42F8-BB6E-39D792DB3BC6}">
      <tableStyleElement type="wholeTable" dxfId="503"/>
      <tableStyleElement type="headerRow" dxfId="502"/>
      <tableStyleElement type="totalRow" dxfId="501"/>
      <tableStyleElement type="firstColumn" dxfId="500"/>
      <tableStyleElement type="lastColumn" dxfId="499"/>
      <tableStyleElement type="firstRowStripe" dxfId="498"/>
      <tableStyleElement type="firstColumnStripe" dxfId="497"/>
    </tableStyle>
    <tableStyle name="Excel Minimal 03 Red" pivot="0" count="7" xr9:uid="{35954E23-638C-4454-9F3B-75A417EA958C}">
      <tableStyleElement type="wholeTable" dxfId="496"/>
      <tableStyleElement type="headerRow" dxfId="495"/>
      <tableStyleElement type="totalRow" dxfId="494"/>
      <tableStyleElement type="firstColumn" dxfId="493"/>
      <tableStyleElement type="lastColumn" dxfId="492"/>
      <tableStyleElement type="firstRowStripe" dxfId="491"/>
      <tableStyleElement type="firstColumnStripe" dxfId="490"/>
    </tableStyle>
    <tableStyle name="Excel Minimal 04 Green" pivot="0" count="7" xr9:uid="{6C1ECD0B-1F69-4F08-A015-7657D5AAAE99}">
      <tableStyleElement type="wholeTable" dxfId="489"/>
      <tableStyleElement type="headerRow" dxfId="488"/>
      <tableStyleElement type="totalRow" dxfId="487"/>
      <tableStyleElement type="firstColumn" dxfId="486"/>
      <tableStyleElement type="lastColumn" dxfId="485"/>
      <tableStyleElement type="firstRowStripe" dxfId="484"/>
      <tableStyleElement type="firstColumnStripe" dxfId="483"/>
    </tableStyle>
    <tableStyle name="Excel Minimal 05 Purple" pivot="0" count="7" xr9:uid="{20A09535-52D8-4D2D-8240-898885AC29AD}">
      <tableStyleElement type="wholeTable" dxfId="482"/>
      <tableStyleElement type="headerRow" dxfId="481"/>
      <tableStyleElement type="totalRow" dxfId="480"/>
      <tableStyleElement type="firstColumn" dxfId="479"/>
      <tableStyleElement type="lastColumn" dxfId="478"/>
      <tableStyleElement type="firstRowStripe" dxfId="477"/>
      <tableStyleElement type="firstColumnStripe" dxfId="476"/>
    </tableStyle>
    <tableStyle name="Excel Minimal 06 Light Blue" pivot="0" count="7" xr9:uid="{46D4D46E-9D20-4633-A17C-24108BA052DE}">
      <tableStyleElement type="wholeTable" dxfId="475"/>
      <tableStyleElement type="headerRow" dxfId="474"/>
      <tableStyleElement type="totalRow" dxfId="473"/>
      <tableStyleElement type="firstColumn" dxfId="472"/>
      <tableStyleElement type="lastColumn" dxfId="471"/>
      <tableStyleElement type="firstRowStripe" dxfId="470"/>
      <tableStyleElement type="firstColumnStripe" dxfId="469"/>
    </tableStyle>
    <tableStyle name="Excel Minimal 07 Orange" pivot="0" count="7" xr9:uid="{7A22539F-005A-4AB7-A45D-781B43FE945C}">
      <tableStyleElement type="wholeTable" dxfId="468"/>
      <tableStyleElement type="headerRow" dxfId="467"/>
      <tableStyleElement type="totalRow" dxfId="466"/>
      <tableStyleElement type="firstColumn" dxfId="465"/>
      <tableStyleElement type="lastColumn" dxfId="464"/>
      <tableStyleElement type="firstRowStripe" dxfId="463"/>
      <tableStyleElement type="firstColumnStripe" dxfId="462"/>
    </tableStyle>
    <tableStyle name="Shir Style 01 Gray" pivot="0" count="7" xr9:uid="{00000000-0011-0000-FFFF-FFFF03000000}">
      <tableStyleElement type="wholeTable" dxfId="461"/>
      <tableStyleElement type="headerRow" dxfId="460"/>
      <tableStyleElement type="totalRow" dxfId="459"/>
      <tableStyleElement type="firstColumn" dxfId="458"/>
      <tableStyleElement type="lastColumn" dxfId="457"/>
      <tableStyleElement type="firstRowStripe" dxfId="456"/>
      <tableStyleElement type="firstColumnStripe" dxfId="455"/>
    </tableStyle>
    <tableStyle name="Shir Style 02 Blue" pivot="0" count="7" xr9:uid="{00000000-0011-0000-FFFF-FFFF04000000}">
      <tableStyleElement type="wholeTable" dxfId="454"/>
      <tableStyleElement type="headerRow" dxfId="453"/>
      <tableStyleElement type="totalRow" dxfId="452"/>
      <tableStyleElement type="firstColumn" dxfId="451"/>
      <tableStyleElement type="lastColumn" dxfId="450"/>
      <tableStyleElement type="firstRowStripe" dxfId="449"/>
      <tableStyleElement type="firstColumnStripe" dxfId="448"/>
    </tableStyle>
    <tableStyle name="Shir Style 03 Red" pivot="0" count="7" xr9:uid="{00000000-0011-0000-FFFF-FFFF05000000}">
      <tableStyleElement type="wholeTable" dxfId="447"/>
      <tableStyleElement type="headerRow" dxfId="446"/>
      <tableStyleElement type="totalRow" dxfId="445"/>
      <tableStyleElement type="firstColumn" dxfId="444"/>
      <tableStyleElement type="lastColumn" dxfId="443"/>
      <tableStyleElement type="firstRowStripe" dxfId="442"/>
      <tableStyleElement type="firstColumnStripe" dxfId="441"/>
    </tableStyle>
    <tableStyle name="Shir Style 04 Green" pivot="0" count="7" xr9:uid="{00000000-0011-0000-FFFF-FFFF06000000}">
      <tableStyleElement type="wholeTable" dxfId="440"/>
      <tableStyleElement type="headerRow" dxfId="439"/>
      <tableStyleElement type="totalRow" dxfId="438"/>
      <tableStyleElement type="firstColumn" dxfId="437"/>
      <tableStyleElement type="lastColumn" dxfId="436"/>
      <tableStyleElement type="firstRowStripe" dxfId="435"/>
      <tableStyleElement type="firstColumnStripe" dxfId="434"/>
    </tableStyle>
    <tableStyle name="Shir Style 05 Purple" pivot="0" count="7" xr9:uid="{00000000-0011-0000-FFFF-FFFF07000000}">
      <tableStyleElement type="wholeTable" dxfId="433"/>
      <tableStyleElement type="headerRow" dxfId="432"/>
      <tableStyleElement type="totalRow" dxfId="431"/>
      <tableStyleElement type="firstColumn" dxfId="430"/>
      <tableStyleElement type="lastColumn" dxfId="429"/>
      <tableStyleElement type="firstRowStripe" dxfId="428"/>
      <tableStyleElement type="firstColumnStripe" dxfId="427"/>
    </tableStyle>
    <tableStyle name="Shir Style 06 Light Blue" pivot="0" count="7" xr9:uid="{00000000-0011-0000-FFFF-FFFF08000000}">
      <tableStyleElement type="wholeTable" dxfId="426"/>
      <tableStyleElement type="headerRow" dxfId="425"/>
      <tableStyleElement type="totalRow" dxfId="424"/>
      <tableStyleElement type="firstColumn" dxfId="423"/>
      <tableStyleElement type="lastColumn" dxfId="422"/>
      <tableStyleElement type="firstRowStripe" dxfId="421"/>
      <tableStyleElement type="firstColumnStripe" dxfId="420"/>
    </tableStyle>
    <tableStyle name="Shir Style 07 Orange" pivot="0" count="7" xr9:uid="{00000000-0011-0000-FFFF-FFFF09000000}">
      <tableStyleElement type="wholeTable" dxfId="419"/>
      <tableStyleElement type="headerRow" dxfId="418"/>
      <tableStyleElement type="totalRow" dxfId="417"/>
      <tableStyleElement type="firstColumn" dxfId="416"/>
      <tableStyleElement type="lastColumn" dxfId="415"/>
      <tableStyleElement type="firstRowStripe" dxfId="414"/>
      <tableStyleElement type="firstColumnStripe" dxfId="413"/>
    </tableStyle>
    <tableStyle name="Shir Style 08 Brown" pivot="0" count="7" xr9:uid="{00000000-0011-0000-FFFF-FFFF0A000000}">
      <tableStyleElement type="wholeTable" dxfId="412"/>
      <tableStyleElement type="headerRow" dxfId="411"/>
      <tableStyleElement type="totalRow" dxfId="410"/>
      <tableStyleElement type="firstColumn" dxfId="409"/>
      <tableStyleElement type="lastColumn" dxfId="408"/>
      <tableStyleElement type="firstRowStripe" dxfId="407"/>
      <tableStyleElement type="firstColumnStripe" dxfId="406"/>
    </tableStyle>
    <tableStyle name="Shir Style 09 Lemon" pivot="0" count="7" xr9:uid="{00000000-0011-0000-FFFF-FFFF0B000000}">
      <tableStyleElement type="wholeTable" dxfId="405"/>
      <tableStyleElement type="headerRow" dxfId="404"/>
      <tableStyleElement type="totalRow" dxfId="403"/>
      <tableStyleElement type="firstColumn" dxfId="402"/>
      <tableStyleElement type="lastColumn" dxfId="401"/>
      <tableStyleElement type="firstRowStripe" dxfId="400"/>
      <tableStyleElement type="firstColumnStripe" dxfId="399"/>
    </tableStyle>
    <tableStyle name="Shir Style 10 Pink" pivot="0" count="7" xr9:uid="{00000000-0011-0000-FFFF-FFFF0C000000}">
      <tableStyleElement type="wholeTable" dxfId="398"/>
      <tableStyleElement type="headerRow" dxfId="397"/>
      <tableStyleElement type="totalRow" dxfId="396"/>
      <tableStyleElement type="firstColumn" dxfId="395"/>
      <tableStyleElement type="lastColumn" dxfId="394"/>
      <tableStyleElement type="firstRowStripe" dxfId="393"/>
      <tableStyleElement type="firstColumnStripe" dxfId="392"/>
    </tableStyle>
    <tableStyle name="Shir Style 11 Nude" pivot="0" count="7" xr9:uid="{00000000-0011-0000-FFFF-FFFF0D000000}">
      <tableStyleElement type="wholeTable" dxfId="391"/>
      <tableStyleElement type="headerRow" dxfId="390"/>
      <tableStyleElement type="totalRow" dxfId="389"/>
      <tableStyleElement type="firstColumn" dxfId="388"/>
      <tableStyleElement type="lastColumn" dxfId="387"/>
      <tableStyleElement type="firstRowStripe" dxfId="386"/>
      <tableStyleElement type="firstColumnStripe" dxfId="385"/>
    </tableStyle>
    <tableStyle name="Shir Style 12 Yellow" pivot="0" count="7" xr9:uid="{00000000-0011-0000-FFFF-FFFF0E000000}">
      <tableStyleElement type="wholeTable" dxfId="384"/>
      <tableStyleElement type="headerRow" dxfId="383"/>
      <tableStyleElement type="totalRow" dxfId="382"/>
      <tableStyleElement type="firstColumn" dxfId="381"/>
      <tableStyleElement type="lastColumn" dxfId="380"/>
      <tableStyleElement type="firstRowStripe" dxfId="379"/>
      <tableStyleElement type="firstColumnStripe" dxfId="378"/>
    </tableStyle>
    <tableStyle name="Shir Style 13 Torquoise" pivot="0" count="7" xr9:uid="{00000000-0011-0000-FFFF-FFFF0F000000}">
      <tableStyleElement type="wholeTable" dxfId="377"/>
      <tableStyleElement type="headerRow" dxfId="376"/>
      <tableStyleElement type="totalRow" dxfId="375"/>
      <tableStyleElement type="firstColumn" dxfId="374"/>
      <tableStyleElement type="lastColumn" dxfId="373"/>
      <tableStyleElement type="firstRowStripe" dxfId="372"/>
      <tableStyleElement type="firstColumnStripe" dxfId="371"/>
    </tableStyle>
    <tableStyle name="Shir Style 14 Violet" pivot="0" count="7" xr9:uid="{00000000-0011-0000-FFFF-FFFF10000000}">
      <tableStyleElement type="wholeTable" dxfId="370"/>
      <tableStyleElement type="headerRow" dxfId="369"/>
      <tableStyleElement type="totalRow" dxfId="368"/>
      <tableStyleElement type="firstColumn" dxfId="367"/>
      <tableStyleElement type="lastColumn" dxfId="366"/>
      <tableStyleElement type="firstRowStripe" dxfId="365"/>
      <tableStyleElement type="firstColumnStripe" dxfId="364"/>
    </tableStyle>
  </tableStyles>
  <colors>
    <mruColors>
      <color rgb="FF177390"/>
      <color rgb="FF8064A2"/>
      <color rgb="FFEBFEFC"/>
      <color rgb="FF636568"/>
      <color rgb="FFD6F6F5"/>
      <color rgb="FF2AA662"/>
      <color rgb="FFF5F5F5"/>
      <color rgb="FFEAFEFC"/>
      <color rgb="FFFFDCFF"/>
      <color rgb="FFFFC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</xdr:colOff>
      <xdr:row>1</xdr:row>
      <xdr:rowOff>15241</xdr:rowOff>
    </xdr:from>
    <xdr:to>
      <xdr:col>4</xdr:col>
      <xdr:colOff>600075</xdr:colOff>
      <xdr:row>3</xdr:row>
      <xdr:rowOff>189823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CBDCA9-19F9-47DE-9430-166B15F84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645" y="100966"/>
          <a:ext cx="2392680" cy="55558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45720</xdr:rowOff>
    </xdr:from>
    <xdr:to>
      <xdr:col>2</xdr:col>
      <xdr:colOff>654844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583B8E-D8C7-47CB-B208-80468FA14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45720</xdr:rowOff>
    </xdr:from>
    <xdr:to>
      <xdr:col>2</xdr:col>
      <xdr:colOff>654844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E56C1B-58DE-4ED2-B1B2-A0043F3862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45720</xdr:rowOff>
    </xdr:from>
    <xdr:to>
      <xdr:col>2</xdr:col>
      <xdr:colOff>654844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C31ECAD-FDF3-4F01-A54C-D1A463680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45720</xdr:rowOff>
    </xdr:from>
    <xdr:to>
      <xdr:col>2</xdr:col>
      <xdr:colOff>654844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54CB56-B50D-42B8-96FF-C388A043E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45720</xdr:rowOff>
    </xdr:from>
    <xdr:to>
      <xdr:col>2</xdr:col>
      <xdr:colOff>788194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6998B6D-1F9E-43B4-AAF5-A16853073A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45720</xdr:rowOff>
    </xdr:from>
    <xdr:to>
      <xdr:col>2</xdr:col>
      <xdr:colOff>788194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85C885-8949-4B4C-A302-EE09AA5B4B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45720</xdr:rowOff>
    </xdr:from>
    <xdr:to>
      <xdr:col>2</xdr:col>
      <xdr:colOff>788194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25B595-0662-4F06-A73F-9B6E25C9D0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45720</xdr:rowOff>
    </xdr:from>
    <xdr:to>
      <xdr:col>2</xdr:col>
      <xdr:colOff>788194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EDDAF7-A85D-4FE5-A335-1CFC29470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45720</xdr:rowOff>
    </xdr:from>
    <xdr:to>
      <xdr:col>2</xdr:col>
      <xdr:colOff>654844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F36ED8-476B-4652-AFB2-6E6689C69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45720</xdr:rowOff>
    </xdr:from>
    <xdr:to>
      <xdr:col>2</xdr:col>
      <xdr:colOff>654844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53BD56-DE21-4C64-AC67-22C8C09C7D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45720</xdr:rowOff>
    </xdr:from>
    <xdr:to>
      <xdr:col>2</xdr:col>
      <xdr:colOff>654844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7B0909-F0E7-4DF4-AE45-CE1B8FC1C9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45720</xdr:rowOff>
    </xdr:from>
    <xdr:to>
      <xdr:col>2</xdr:col>
      <xdr:colOff>654844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6B46D6C-6444-4534-B4C4-BDCB4BBDE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0A5A930-A120-4484-81D8-79150382F4AA}" name="Tbl_A1_FormulaElementsIntro_01" displayName="Tbl_A1_FormulaElementsIntro_01" ref="B7:F11" headerRowDxfId="361" dataDxfId="359" headerRowBorderDxfId="360">
  <tableColumns count="5">
    <tableColumn id="2" xr3:uid="{E858CDB8-87F8-48B8-9DFF-19A9E2143565}" name="ID" totalsRowLabel="Total" dataDxfId="358" totalsRowDxfId="357">
      <calculatedColumnFormula>ROW(B8)-ROW(B$7)</calculatedColumnFormula>
    </tableColumn>
    <tableColumn id="3" xr3:uid="{432B6090-C994-466F-9313-BF1285369404}" name="Formula Excerpt" dataDxfId="356" totalsRowDxfId="355"/>
    <tableColumn id="5" xr3:uid="{E3DA930E-0048-41D1-898F-CF36D50F0CCC}" name="Formula Element" totalsRowFunction="count" dataDxfId="354" dataCellStyle="Input"/>
    <tableColumn id="1" xr3:uid="{B3B652D8-0C58-4FBB-BACE-7C643DB8D30F}" name="Answer Status Q01" dataDxfId="353" totalsRowDxfId="352">
      <calculatedColumnFormula>IFERROR(IF(Tbl_A1_FormulaElementsIntro_01[[#This Row],[Formula Element]]="","",IF(EXACT(Tbl_A1_FormulaElementsIntro_01[[#This Row],[Formula Element]],Tbl_A1_FormulaElementsIntro_01[[#This Row],[Formula Element ANS]]),Rng_Lkp_AnswerStatus_Good,Rng_Lkp_AnswerStatus_Bad)),Rng_Lkp_AnswerStatus_Bad)</calculatedColumnFormula>
    </tableColumn>
    <tableColumn id="6" xr3:uid="{DB88A6B0-3D1C-4D64-9DAC-A62F27CD9C8E}" name="Formula Element ANS" dataDxfId="351" dataCellStyle="Highlight Difference"/>
  </tableColumns>
  <tableStyleInfo name="Excel Minimal 04 Green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986D77BD-0A8B-4CD1-A138-E82751AF6D56}" name="Tbl_B4_HelperColumns_ANS" displayName="Tbl_B4_HelperColumns_ANS" ref="B7:P27" headerRowDxfId="112" dataDxfId="110" headerRowBorderDxfId="111">
  <tableColumns count="15">
    <tableColumn id="2" xr3:uid="{E49D480D-E71C-48F8-8AC8-1E37F199FBD3}" name="Account ID" totalsRowLabel="Total" dataDxfId="109" totalsRowDxfId="108"/>
    <tableColumn id="3" xr3:uid="{AE2FF826-0F5E-4789-B3F4-D51EDB9FC22A}" name="Full Name" dataDxfId="107" totalsRowDxfId="106"/>
    <tableColumn id="4" xr3:uid="{E8F894B3-EC60-48C0-A7D8-69D3EB698611}" name="Member Start Date" dataDxfId="105" totalsRowDxfId="104"/>
    <tableColumn id="5" xr3:uid="{864FAA34-5040-43AC-8E02-A6D076E42E2A}" name="Start Year" totalsRowFunction="count" dataDxfId="103" dataCellStyle="Input">
      <calculatedColumnFormula>YEAR(Tbl_B4_HelperColumns_ANS[[#This Row],[Member Start Date]])</calculatedColumnFormula>
    </tableColumn>
    <tableColumn id="1" xr3:uid="{E3986250-44CD-4FD9-926D-7A71D9AD321D}" name="Answer Status Q01" dataDxfId="102" totalsRowDxfId="101">
      <calculatedColumnFormula>IFERROR(IF(Tbl_B4_HelperColumns_ANS[[#This Row],[Start Year]]="","",IF(AND(_xlfn.ISFORMULA(Tbl_B4_HelperColumns_ANS[[#This Row],[Start Year]]),EXACT(Tbl_B4_HelperColumns_ANS[[#This Row],[Start Year]],Tbl_B4_HelperColumns_ANS[[#This Row],[Start Year ANS]])),Rng_Lkp_AnswerStatus_Good,Rng_Lkp_AnswerStatus_Bad)),Rng_Lkp_AnswerStatus_Bad)</calculatedColumnFormula>
    </tableColumn>
    <tableColumn id="6" xr3:uid="{8A36D55F-93E3-4C7B-B568-AD2B7E60FBB9}" name="Start Year ANS" dataDxfId="100" dataCellStyle="Highlight Difference"/>
    <tableColumn id="7" xr3:uid="{5C21E1FE-C8D0-41B5-B8F3-1BBCCC4A044B}" name="Start Month" dataDxfId="99" totalsRowDxfId="98" dataCellStyle="Input">
      <calculatedColumnFormula>MONTH(Tbl_B4_HelperColumns_ANS[[#This Row],[Member Start Date]])</calculatedColumnFormula>
    </tableColumn>
    <tableColumn id="8" xr3:uid="{DA97AF0A-AA14-4397-BB31-760B471F1913}" name="Answer Status Q02" dataDxfId="97" totalsRowDxfId="96">
      <calculatedColumnFormula>IFERROR(IF(Tbl_B4_HelperColumns_ANS[[#This Row],[Start Month]]="","",IF(AND(_xlfn.ISFORMULA(Tbl_B4_HelperColumns_ANS[[#This Row],[Start Month]]),EXACT(Tbl_B4_HelperColumns_ANS[[#This Row],[Start Month]],Tbl_B4_HelperColumns_ANS[[#This Row],[Start Month ANS]])),Rng_Lkp_AnswerStatus_Good,Rng_Lkp_AnswerStatus_Bad)),Rng_Lkp_AnswerStatus_Bad)</calculatedColumnFormula>
    </tableColumn>
    <tableColumn id="9" xr3:uid="{D8C7593A-B4E7-4915-997D-43AAB58EDB34}" name="Start Month ANS" dataDxfId="95" totalsRowDxfId="94" dataCellStyle="Highlight Difference"/>
    <tableColumn id="10" xr3:uid="{51AF1BF3-2493-49E4-A25C-77219E5C05BB}" name="Start Day" dataDxfId="93" totalsRowDxfId="92">
      <calculatedColumnFormula>DAY(Tbl_B4_HelperColumns_ANS[[#This Row],[Member Start Date]])</calculatedColumnFormula>
    </tableColumn>
    <tableColumn id="11" xr3:uid="{8F2945DA-153B-491B-83C6-4C8E9F507C94}" name="Answer Status Q03" dataDxfId="91" totalsRowDxfId="90">
      <calculatedColumnFormula>IFERROR(IF(Tbl_B4_HelperColumns_ANS[[#This Row],[Start Day]]="","",IF(AND(_xlfn.ISFORMULA(Tbl_B4_HelperColumns_ANS[[#This Row],[Start Day]]),EXACT(Tbl_B4_HelperColumns_ANS[[#This Row],[Start Day]],Tbl_B4_HelperColumns_ANS[[#This Row],[Start Day ANS]])),Rng_Lkp_AnswerStatus_Good,Rng_Lkp_AnswerStatus_Bad)),Rng_Lkp_AnswerStatus_Bad)</calculatedColumnFormula>
    </tableColumn>
    <tableColumn id="12" xr3:uid="{9CAEABCE-255E-4331-8165-48920DB262DD}" name="Start Day ANS" dataDxfId="89" totalsRowDxfId="88"/>
    <tableColumn id="13" xr3:uid="{D38A8C8F-798A-489D-8D60-973E0138A7D3}" name="3 Months After Start Date" dataDxfId="87" totalsRowDxfId="86">
      <calculatedColumnFormula>DATE(Tbl_B4_HelperColumns_ANS[[#This Row],[Start Year]],Tbl_B4_HelperColumns_ANS[[#This Row],[Start Month]]+3,Tbl_B4_HelperColumns_ANS[[#This Row],[Start Day]])</calculatedColumnFormula>
    </tableColumn>
    <tableColumn id="14" xr3:uid="{D29434A5-FEA7-4973-A497-E3ED4E5702EB}" name="Answer Status Q04" dataDxfId="85" totalsRowDxfId="84">
      <calculatedColumnFormula>IFERROR(IF(Tbl_B4_HelperColumns_ANS[[#This Row],[3 Months After Start Date]]="","",IF(AND(_xlfn.ISFORMULA(Tbl_B4_HelperColumns_ANS[[#This Row],[3 Months After Start Date]]),EXACT(Tbl_B4_HelperColumns_ANS[[#This Row],[3 Months After Start Date]],Tbl_B4_HelperColumns_ANS[[#This Row],[3 Months After Start Date ANS]])),Rng_Lkp_AnswerStatus_Good,Rng_Lkp_AnswerStatus_Bad)),Rng_Lkp_AnswerStatus_Bad)</calculatedColumnFormula>
    </tableColumn>
    <tableColumn id="15" xr3:uid="{5720EDA7-6539-4A80-AA40-E4006869744E}" name="3 Months After Start Date ANS" dataDxfId="83" totalsRowDxfId="82"/>
  </tableColumns>
  <tableStyleInfo name="Excel Minimal 03 Red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425C4EFF-C4E7-4157-AFF9-4B6FF353E537}" name="Tbl_B5_Help_01" displayName="Tbl_B5_Help_01" ref="B7:AC27" headerRowDxfId="79" dataDxfId="77" headerRowBorderDxfId="78">
  <tableColumns count="28">
    <tableColumn id="2" xr3:uid="{5C70AA98-0965-431A-AD78-8039450F383F}" name="Account ID" totalsRowLabel="Total" dataDxfId="76" totalsRowDxfId="75"/>
    <tableColumn id="3" xr3:uid="{42CB7F9A-F9F2-42B2-A696-E61A3C121C50}" name="Full Name" dataDxfId="74"/>
    <tableColumn id="26" xr3:uid="{37163EAE-EC0C-4297-B387-339749274DDC}" name="State" dataDxfId="73"/>
    <tableColumn id="4" xr3:uid="{7463A6FB-BFA1-40CE-A44C-46B7DA704EAC}" name="Member Start Date" dataDxfId="72"/>
    <tableColumn id="5" xr3:uid="{26454093-8EC7-4A61-884C-43860C5C33CD}" name="Start Weekday (&quot;DDD&quot;)" totalsRowFunction="count" dataDxfId="71" dataCellStyle="Input"/>
    <tableColumn id="1" xr3:uid="{96EC82D5-D331-4EDB-9050-712AC7870728}" name="Answer Status Q01" dataDxfId="70">
      <calculatedColumnFormula>IFERROR(IF(Tbl_B5_Help_01[[#This Row],[Start Weekday ("DDD")]]="","",IF(AND(_xlfn.ISFORMULA(Tbl_B5_Help_01[[#This Row],[Start Weekday ("DDD")]]),EXACT(Tbl_B5_Help_01[[#This Row],[Start Weekday ("DDD")]],Tbl_B5_Help_01[[#This Row],[Start Weekday ("DDD") ANS]])),Rng_Lkp_AnswerStatus_Good,Rng_Lkp_AnswerStatus_Bad)),Rng_Lkp_AnswerStatus_Bad)</calculatedColumnFormula>
    </tableColumn>
    <tableColumn id="6" xr3:uid="{6E0E645B-7C87-42F3-A379-35EE7922FD5C}" name="Start Weekday (&quot;DDD&quot;) ANS" dataDxfId="69" dataCellStyle="Highlight Difference"/>
    <tableColumn id="7" xr3:uid="{1D1C71A7-23A1-4D7E-A30B-AFDDEF9CAFD8}" name="Start Month (&quot;MMM&quot;)" dataDxfId="68" dataCellStyle="Input"/>
    <tableColumn id="8" xr3:uid="{74C694BB-0ED5-40EA-A19B-2C6FA27C9E51}" name="Answer Status Q02" dataDxfId="67">
      <calculatedColumnFormula>IFERROR(IF(Tbl_B5_Help_01[[#This Row],[Start Month ("MMM")]]="","",IF(AND(_xlfn.ISFORMULA(Tbl_B5_Help_01[[#This Row],[Start Month ("MMM")]]),EXACT(Tbl_B5_Help_01[[#This Row],[Start Month ("MMM")]],Tbl_B5_Help_01[[#This Row],[Start Month ("MMM") ANS]])),Rng_Lkp_AnswerStatus_Good,Rng_Lkp_AnswerStatus_Bad)),Rng_Lkp_AnswerStatus_Bad)</calculatedColumnFormula>
    </tableColumn>
    <tableColumn id="9" xr3:uid="{223091F7-4DED-45A3-912E-0DBBE593B59F}" name="Start Month (&quot;MMM&quot;) ANS" dataDxfId="66" dataCellStyle="Highlight Difference"/>
    <tableColumn id="10" xr3:uid="{79F041F9-090B-499E-B7DC-0412306B5BFB}" name="Start Day (&quot;D&quot;)" dataDxfId="65"/>
    <tableColumn id="11" xr3:uid="{001AA4D8-72DF-4617-93FF-5D9CCE003D94}" name="Answer Status Q03" dataDxfId="64">
      <calculatedColumnFormula>IFERROR(IF(Tbl_B5_Help_01[[#This Row],[Start Day ("D")]]="","",IF(AND(_xlfn.ISFORMULA(Tbl_B5_Help_01[[#This Row],[Start Day ("D")]]),EXACT(Tbl_B5_Help_01[[#This Row],[Start Day ("D")]],Tbl_B5_Help_01[[#This Row],[Start Day ("D") ANS]])),Rng_Lkp_AnswerStatus_Good,Rng_Lkp_AnswerStatus_Bad)),Rng_Lkp_AnswerStatus_Bad)</calculatedColumnFormula>
    </tableColumn>
    <tableColumn id="12" xr3:uid="{ED182F9C-4BA9-4481-BB60-4DAC2D1D4A30}" name="Start Day (&quot;D&quot;) ANS" dataDxfId="63"/>
    <tableColumn id="13" xr3:uid="{CBB9B341-7B95-4972-86B8-E6876E045701}" name="Start Year (&quot;YYYY&quot;)" dataDxfId="62"/>
    <tableColumn id="14" xr3:uid="{13E30746-62C1-42CC-9316-659EA646FD19}" name="Answer Status Q04" dataDxfId="61">
      <calculatedColumnFormula>IFERROR(IF(Tbl_B5_Help_01[[#This Row],[Start Year ("YYYY")]]="","",IF(AND(_xlfn.ISFORMULA(Tbl_B5_Help_01[[#This Row],[Start Year ("YYYY")]]),EXACT(Tbl_B5_Help_01[[#This Row],[Start Year ("YYYY")]],Tbl_B5_Help_01[[#This Row],[Start Year ("YYYY") ANS]])),Rng_Lkp_AnswerStatus_Good,Rng_Lkp_AnswerStatus_Bad)),Rng_Lkp_AnswerStatus_Bad)</calculatedColumnFormula>
    </tableColumn>
    <tableColumn id="15" xr3:uid="{D1A54581-CB42-4A9A-B4B6-6E037748464F}" name="Start Year (&quot;YYYY&quot;) ANS" dataDxfId="60"/>
    <tableColumn id="20" xr3:uid="{355C7980-D467-4CB9-BE24-2233F7B73C1E}" name="Full Date (&quot;DDD, MMM D, YYYY&quot;)" dataDxfId="59"/>
    <tableColumn id="21" xr3:uid="{FC1BAB81-5E56-4270-8355-085F32031D30}" name="Answer Status Q05" dataDxfId="58">
      <calculatedColumnFormula>IFERROR(IF(Tbl_B5_Help_01[[#This Row],[Full Date ("DDD, MMM D, YYYY")]]="","",IF(AND(_xlfn.ISFORMULA(Tbl_B5_Help_01[[#This Row],[Full Date ("DDD, MMM D, YYYY")]]),EXACT(Tbl_B5_Help_01[[#This Row],[Full Date ("DDD, MMM D, YYYY")]],Tbl_B5_Help_01[[#This Row],[Full Date ("DDD, MMM D, YYYY") ANS]])),Rng_Lkp_AnswerStatus_Good,Rng_Lkp_AnswerStatus_Bad)),Rng_Lkp_AnswerStatus_Bad)</calculatedColumnFormula>
    </tableColumn>
    <tableColumn id="22" xr3:uid="{083CAFE2-2288-4089-98B4-2717DBF115D7}" name="Full Date (&quot;DDD, MMM D, YYYY&quot;) ANS" dataDxfId="57"/>
    <tableColumn id="23" xr3:uid="{3800B524-51B2-433F-A804-27F250EBAB94}" name="State is &quot;NY&quot; AND Start Year is &quot;2019&quot; (TRUE/FALSE)" dataDxfId="56"/>
    <tableColumn id="24" xr3:uid="{66E93E76-C439-404B-8229-D03D85A295BD}" name="Answer Status Q06" dataDxfId="55" totalsRowDxfId="54">
      <calculatedColumnFormula>IFERROR(IF(Tbl_B5_Help_01[[#This Row],[State is "NY" AND Start Year is "2019" (TRUE/FALSE)]]="","",IF(AND(_xlfn.ISFORMULA(Tbl_B5_Help_01[[#This Row],[State is "NY" AND Start Year is "2019" (TRUE/FALSE)]]),EXACT(Tbl_B5_Help_01[[#This Row],[State is "NY" AND Start Year is "2019" (TRUE/FALSE)]],Tbl_B5_Help_01[[#This Row],[State is "NY" AND Start Year is "2019" (TRUE/FALSE) ANS]])),Rng_Lkp_AnswerStatus_Good,Rng_Lkp_AnswerStatus_Bad)),Rng_Lkp_AnswerStatus_Bad)</calculatedColumnFormula>
    </tableColumn>
    <tableColumn id="25" xr3:uid="{5B8AC43D-528F-47F2-918A-DC038E8991D2}" name="State is &quot;NY&quot; AND Start Year is &quot;2019&quot; (TRUE/FALSE) ANS" dataDxfId="53" totalsRowDxfId="52"/>
    <tableColumn id="16" xr3:uid="{C8049508-8BF0-4327-BB4A-9355E9FFAD50}" name="State is &quot;NY&quot; OR Start Year is &quot;2019&quot; (TRUE/FALSE)" dataDxfId="51" dataCellStyle="Input"/>
    <tableColumn id="17" xr3:uid="{98F9554F-61D7-419B-94EB-FD2C3EF6B22B}" name="Answer Status Q07" dataDxfId="50">
      <calculatedColumnFormula>IFERROR(IF(Tbl_B5_Help_01[[#This Row],[State is "NY" OR Start Year is "2019" (TRUE/FALSE)]]="","",IF(AND(_xlfn.ISFORMULA(Tbl_B5_Help_01[[#This Row],[State is "NY" OR Start Year is "2019" (TRUE/FALSE)]]),EXACT(Tbl_B5_Help_01[[#This Row],[State is "NY" OR Start Year is "2019" (TRUE/FALSE)]],Tbl_B5_Help_01[[#This Row],[State is "NY" OR Start Year is "2019" (TRUE/FALSE) ANS]])),Rng_Lkp_AnswerStatus_Good,Rng_Lkp_AnswerStatus_Bad)),Rng_Lkp_AnswerStatus_Bad)</calculatedColumnFormula>
    </tableColumn>
    <tableColumn id="18" xr3:uid="{588BF577-6E4E-428F-BBF2-EB1B3CC58DEC}" name="State is &quot;NY&quot; OR Start Year is &quot;2019&quot; (TRUE/FALSE) ANS" dataDxfId="49" dataCellStyle="Highlight Difference"/>
    <tableColumn id="27" xr3:uid="{61CDC65F-F2AC-4BCA-8C6B-17CE3C53C0FB}" name="If State is &quot;NJ&quot; OR Start Year is &quot;2012&quot; then &quot;Approve&quot;, otherwise &quot;Deny&quot;" dataDxfId="48" dataCellStyle="Input"/>
    <tableColumn id="28" xr3:uid="{1E8A209C-FF79-40E8-A395-6D0C7B4A74F8}" name="Answer Status Q08" dataDxfId="47">
      <calculatedColumnFormula>IFERROR(IF(Tbl_B5_Help_01[[#This Row],[If State is "NJ" OR Start Year is "2012" then "Approve", otherwise "Deny"]]="","",IF(AND(_xlfn.ISFORMULA(Tbl_B5_Help_01[[#This Row],[If State is "NJ" OR Start Year is "2012" then "Approve", otherwise "Deny"]]),EXACT(Tbl_B5_Help_01[[#This Row],[If State is "NJ" OR Start Year is "2012" then "Approve", otherwise "Deny"]],Tbl_B5_Help_01[[#This Row],[If State is "NJ" OR Start Year is "2012" then "Approve", otherwise "Deny" ANS]])),Rng_Lkp_AnswerStatus_Good,Rng_Lkp_AnswerStatus_Bad)),Rng_Lkp_AnswerStatus_Bad)</calculatedColumnFormula>
    </tableColumn>
    <tableColumn id="29" xr3:uid="{B4E56C32-83B4-411D-8A52-38F8EE41A05C}" name="If State is &quot;NJ&quot; OR Start Year is &quot;2012&quot; then &quot;Approve&quot;, otherwise &quot;Deny&quot; ANS" dataDxfId="46" dataCellStyle="Highlight Difference"/>
  </tableColumns>
  <tableStyleInfo name="Excel Minimal 07 Orange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E98729A-171B-471A-90B4-E0DE182E5325}" name="Tbl_B5_Help_ANS" displayName="Tbl_B5_Help_ANS" ref="B7:AC27" headerRowDxfId="43" dataDxfId="41" headerRowBorderDxfId="42">
  <tableColumns count="28">
    <tableColumn id="2" xr3:uid="{58781273-0FB9-4194-8F22-7B1A6671E565}" name="Account ID" totalsRowLabel="Total" dataDxfId="40" totalsRowDxfId="39"/>
    <tableColumn id="3" xr3:uid="{1D2E894D-D856-4B2F-90CB-C1DA559AEF13}" name="Full Name" dataDxfId="38"/>
    <tableColumn id="26" xr3:uid="{6A089384-8A14-4E5C-9FCF-45D6167747EF}" name="State" dataDxfId="37"/>
    <tableColumn id="4" xr3:uid="{CE4D0BC5-B6D0-4AF0-A9A3-CC3C6C86FBE7}" name="Member Start Date" dataDxfId="36"/>
    <tableColumn id="5" xr3:uid="{1B279BDE-DF74-4EA7-BFC7-AEED8499074F}" name="Start Weekday (&quot;DDD&quot;)" totalsRowFunction="count" dataDxfId="35" dataCellStyle="Input">
      <calculatedColumnFormula>TEXT(Tbl_B5_Help_ANS[[#This Row],[Member Start Date]],"DDD")</calculatedColumnFormula>
    </tableColumn>
    <tableColumn id="1" xr3:uid="{12B13985-015E-40C0-84E9-8FDFDF0FC644}" name="Answer Status Q01" dataDxfId="34">
      <calculatedColumnFormula>IFERROR(IF(Tbl_B5_Help_ANS[[#This Row],[Start Weekday ("DDD")]]="","",IF(AND(_xlfn.ISFORMULA(Tbl_B5_Help_ANS[[#This Row],[Start Weekday ("DDD")]]),EXACT(Tbl_B5_Help_ANS[[#This Row],[Start Weekday ("DDD")]],Tbl_B5_Help_ANS[[#This Row],[Start Weekday ("DDD") ANS]])),Rng_Lkp_AnswerStatus_Good,Rng_Lkp_AnswerStatus_Bad)),Rng_Lkp_AnswerStatus_Bad)</calculatedColumnFormula>
    </tableColumn>
    <tableColumn id="6" xr3:uid="{2405F7DE-A042-4C54-885B-1349B9536245}" name="Start Weekday (&quot;DDD&quot;) ANS" dataDxfId="33" dataCellStyle="Highlight Difference"/>
    <tableColumn id="7" xr3:uid="{970525E9-62ED-4D81-8A0F-13737431B649}" name="Start Month (&quot;MMM&quot;)" dataDxfId="32" dataCellStyle="Input">
      <calculatedColumnFormula>TEXT(Tbl_B5_Help_ANS[[#This Row],[Member Start Date]],"MMM")</calculatedColumnFormula>
    </tableColumn>
    <tableColumn id="8" xr3:uid="{68E25252-A4CA-4762-8C23-0EBDD3F8B2B8}" name="Answer Status Q02" dataDxfId="31">
      <calculatedColumnFormula>IFERROR(IF(Tbl_B5_Help_ANS[[#This Row],[Start Month ("MMM")]]="","",IF(AND(_xlfn.ISFORMULA(Tbl_B5_Help_ANS[[#This Row],[Start Month ("MMM")]]),EXACT(Tbl_B5_Help_ANS[[#This Row],[Start Month ("MMM")]],Tbl_B5_Help_ANS[[#This Row],[Start Month ("MMM") ANS]])),Rng_Lkp_AnswerStatus_Good,Rng_Lkp_AnswerStatus_Bad)),Rng_Lkp_AnswerStatus_Bad)</calculatedColumnFormula>
    </tableColumn>
    <tableColumn id="9" xr3:uid="{54E1C1A9-BE34-4682-B726-7AB5E1650462}" name="Start Month (&quot;MMM&quot;) ANS" dataDxfId="30" dataCellStyle="Highlight Difference"/>
    <tableColumn id="10" xr3:uid="{80298E82-1A23-428D-B08A-6DFAB8F8F860}" name="Start Day (&quot;D&quot;)" dataDxfId="29">
      <calculatedColumnFormula>TEXT(Tbl_B5_Help_ANS[[#This Row],[Member Start Date]],"D")</calculatedColumnFormula>
    </tableColumn>
    <tableColumn id="11" xr3:uid="{42E98CCB-81E7-4E86-9D29-86B721FC783D}" name="Answer Status Q03" dataDxfId="28">
      <calculatedColumnFormula>IFERROR(IF(Tbl_B5_Help_ANS[[#This Row],[Start Day ("D")]]="","",IF(AND(_xlfn.ISFORMULA(Tbl_B5_Help_ANS[[#This Row],[Start Day ("D")]]),EXACT(Tbl_B5_Help_ANS[[#This Row],[Start Day ("D")]],Tbl_B5_Help_ANS[[#This Row],[Start Day ("D") ANS]])),Rng_Lkp_AnswerStatus_Good,Rng_Lkp_AnswerStatus_Bad)),Rng_Lkp_AnswerStatus_Bad)</calculatedColumnFormula>
    </tableColumn>
    <tableColumn id="12" xr3:uid="{EAC9768E-4DBD-4404-A010-F98459F666EC}" name="Start Day (&quot;D&quot;) ANS" dataDxfId="27"/>
    <tableColumn id="13" xr3:uid="{5FE5D3D7-D22C-4803-8B04-D7047F1DD423}" name="Start Year (&quot;YYYY&quot;)" dataDxfId="26">
      <calculatedColumnFormula>TEXT(Tbl_B5_Help_ANS[[#This Row],[Member Start Date]],"YYYY")</calculatedColumnFormula>
    </tableColumn>
    <tableColumn id="14" xr3:uid="{F91D578A-9EBF-4D80-B870-10A7EA4864FC}" name="Answer Status Q04" dataDxfId="25">
      <calculatedColumnFormula>IFERROR(IF(Tbl_B5_Help_ANS[[#This Row],[Start Year ("YYYY")]]="","",IF(AND(_xlfn.ISFORMULA(Tbl_B5_Help_ANS[[#This Row],[Start Year ("YYYY")]]),EXACT(Tbl_B5_Help_ANS[[#This Row],[Start Year ("YYYY")]],Tbl_B5_Help_ANS[[#This Row],[Start Year ("YYYY") ANS]])),Rng_Lkp_AnswerStatus_Good,Rng_Lkp_AnswerStatus_Bad)),Rng_Lkp_AnswerStatus_Bad)</calculatedColumnFormula>
    </tableColumn>
    <tableColumn id="15" xr3:uid="{4E08173A-4A9E-41F4-91FD-E813875323C8}" name="Start Year (&quot;YYYY&quot;) ANS" dataDxfId="24"/>
    <tableColumn id="20" xr3:uid="{D37F8279-6212-4634-8D79-10F6706CBA06}" name="Full Date (&quot;DDD, MMM D, YYYY&quot;)" dataDxfId="23">
      <calculatedColumnFormula>_xlfn.CONCAT(Tbl_B5_Help_ANS[[#This Row],[Start Weekday ("DDD")]],", ",Tbl_B5_Help_ANS[[#This Row],[Start Month ("MMM")]]," ",Tbl_B5_Help_ANS[[#This Row],[Start Day ("D")]],", ",Tbl_B5_Help_ANS[[#This Row],[Start Year ("YYYY")]])</calculatedColumnFormula>
    </tableColumn>
    <tableColumn id="21" xr3:uid="{3EA35D1D-95AF-47AD-9CC9-188FBDE466AC}" name="Answer Status Q05" dataDxfId="22">
      <calculatedColumnFormula>IFERROR(IF(Tbl_B5_Help_ANS[[#This Row],[Full Date ("DDD, MMM D, YYYY")]]="","",IF(AND(_xlfn.ISFORMULA(Tbl_B5_Help_ANS[[#This Row],[Full Date ("DDD, MMM D, YYYY")]]),EXACT(Tbl_B5_Help_ANS[[#This Row],[Full Date ("DDD, MMM D, YYYY")]],Tbl_B5_Help_ANS[[#This Row],[Full Date ("DDD, MMM D, YYYY") ANS]])),Rng_Lkp_AnswerStatus_Good,Rng_Lkp_AnswerStatus_Bad)),Rng_Lkp_AnswerStatus_Bad)</calculatedColumnFormula>
    </tableColumn>
    <tableColumn id="22" xr3:uid="{D2D95E5F-9779-4B91-A253-EC95040F5740}" name="Full Date (&quot;DDD, MMM D, YYYY&quot;) ANS" dataDxfId="21"/>
    <tableColumn id="23" xr3:uid="{43C009B2-B4FB-4701-B436-E03A052B40AC}" name="State is &quot;NY&quot; AND Start Year is &quot;2019&quot; (TRUE/FALSE)" dataDxfId="20">
      <calculatedColumnFormula>AND(Tbl_B5_Help_ANS[[#This Row],[State]]="NY",Tbl_B5_Help_ANS[[#This Row],[Start Year ("YYYY") ANS]]="2019")</calculatedColumnFormula>
    </tableColumn>
    <tableColumn id="24" xr3:uid="{7863FFCE-B841-4B2B-B20C-B4AC2D361B6B}" name="Answer Status Q06" dataDxfId="19" totalsRowDxfId="18">
      <calculatedColumnFormula>IFERROR(IF(Tbl_B5_Help_ANS[[#This Row],[State is "NY" AND Start Year is "2019" (TRUE/FALSE)]]="","",IF(AND(_xlfn.ISFORMULA(Tbl_B5_Help_ANS[[#This Row],[State is "NY" AND Start Year is "2019" (TRUE/FALSE)]]),EXACT(Tbl_B5_Help_ANS[[#This Row],[State is "NY" AND Start Year is "2019" (TRUE/FALSE)]],Tbl_B5_Help_ANS[[#This Row],[State is "NY" AND Start Year is "2019" (TRUE/FALSE) ANS]])),Rng_Lkp_AnswerStatus_Good,Rng_Lkp_AnswerStatus_Bad)),Rng_Lkp_AnswerStatus_Bad)</calculatedColumnFormula>
    </tableColumn>
    <tableColumn id="25" xr3:uid="{2C24026D-A9CD-430F-B05F-B01B45BF4734}" name="State is &quot;NY&quot; AND Start Year is &quot;2019&quot; (TRUE/FALSE) ANS" dataDxfId="17" totalsRowDxfId="16"/>
    <tableColumn id="16" xr3:uid="{A5D2F816-DD5A-4137-B183-8B3F5CBF76FF}" name="State is &quot;NY&quot; OR Start Year is &quot;2019&quot; (TRUE/FALSE)" dataDxfId="15" dataCellStyle="Input">
      <calculatedColumnFormula>OR(Tbl_B5_Help_ANS[[#This Row],[State]]="NY",Tbl_B5_Help_ANS[[#This Row],[Start Year ("YYYY")]]="2019")</calculatedColumnFormula>
    </tableColumn>
    <tableColumn id="17" xr3:uid="{CD2558A5-CA82-42E7-BB7F-2E9F8050A2BD}" name="Answer Status Q07" dataDxfId="14">
      <calculatedColumnFormula>IFERROR(IF(Tbl_B5_Help_ANS[[#This Row],[State is "NY" OR Start Year is "2019" (TRUE/FALSE)]]="","",IF(AND(_xlfn.ISFORMULA(Tbl_B5_Help_ANS[[#This Row],[State is "NY" OR Start Year is "2019" (TRUE/FALSE)]]),EXACT(Tbl_B5_Help_ANS[[#This Row],[State is "NY" OR Start Year is "2019" (TRUE/FALSE)]],Tbl_B5_Help_ANS[[#This Row],[State is "NY" OR Start Year is "2019" (TRUE/FALSE) ANS]])),Rng_Lkp_AnswerStatus_Good,Rng_Lkp_AnswerStatus_Bad)),Rng_Lkp_AnswerStatus_Bad)</calculatedColumnFormula>
    </tableColumn>
    <tableColumn id="18" xr3:uid="{1881038D-57E1-4BF2-B4B1-764A6CC9038F}" name="State is &quot;NY&quot; OR Start Year is &quot;2019&quot; (TRUE/FALSE) ANS" dataDxfId="13" dataCellStyle="Highlight Difference"/>
    <tableColumn id="27" xr3:uid="{5BD7C29E-5A66-4CC8-B016-53BBC446E03C}" name="If State is &quot;NJ&quot; OR Start Year is &quot;2012&quot; then &quot;Approve&quot;, otherwise &quot;Deny&quot;" dataDxfId="12" dataCellStyle="Input">
      <calculatedColumnFormula>IF(OR(Tbl_B5_Help_ANS[[#This Row],[State]]="NJ",Tbl_B5_Help_ANS[[#This Row],[Start Year ("YYYY") ANS]]="2012"),"Approve","Deny")</calculatedColumnFormula>
    </tableColumn>
    <tableColumn id="28" xr3:uid="{9256A1A0-1715-4767-A869-EFE829AA7B7F}" name="Answer Status Q08" dataDxfId="11">
      <calculatedColumnFormula>IFERROR(IF(Tbl_B5_Help_ANS[[#This Row],[If State is "NJ" OR Start Year is "2012" then "Approve", otherwise "Deny"]]="","",IF(AND(_xlfn.ISFORMULA(Tbl_B5_Help_ANS[[#This Row],[If State is "NJ" OR Start Year is "2012" then "Approve", otherwise "Deny"]]),EXACT(Tbl_B5_Help_ANS[[#This Row],[If State is "NJ" OR Start Year is "2012" then "Approve", otherwise "Deny"]],Tbl_B5_Help_ANS[[#This Row],[If State is "NJ" OR Start Year is "2012" then "Approve", otherwise "Deny" ANS]])),Rng_Lkp_AnswerStatus_Good,Rng_Lkp_AnswerStatus_Bad)),Rng_Lkp_AnswerStatus_Bad)</calculatedColumnFormula>
    </tableColumn>
    <tableColumn id="29" xr3:uid="{C1BB9146-592A-42BF-8A45-4A2176F809B2}" name="If State is &quot;NJ&quot; OR Start Year is &quot;2012&quot; then &quot;Approve&quot;, otherwise &quot;Deny&quot; ANS" dataDxfId="10" dataCellStyle="Highlight Difference"/>
  </tableColumns>
  <tableStyleInfo name="Excel Minimal 07 Orange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A2C7441-ECBE-4085-B0DC-8767620C7246}" name="Tbl_Lkp_AnswerStatus" displayName="Tbl_Lkp_AnswerStatus" ref="A1:A3" totalsRowShown="0" headerRowDxfId="9" dataDxfId="7" headerRowBorderDxfId="8" dataCellStyle="Input">
  <tableColumns count="1">
    <tableColumn id="1" xr3:uid="{606B3AE7-9357-4585-9082-7623F6ECB3BD}" name="Answer Status" dataDxfId="6" dataCellStyle="Input"/>
  </tableColumns>
  <tableStyleInfo name="Shir Style 01 Gray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FB2BE6F-8AAD-4878-BA6D-A7550EE48C00}" name="Tbl_Lkp_FormulaElement" displayName="Tbl_Lkp_FormulaElement" ref="E1:E5" totalsRowShown="0" headerRowDxfId="5" headerRowBorderDxfId="4" dataCellStyle="Input">
  <tableColumns count="1">
    <tableColumn id="1" xr3:uid="{987B6ADC-72FA-4368-8406-3BF17F9519CD}" name="Formula Element" dataCellStyle="Input"/>
  </tableColumns>
  <tableStyleInfo name="Shir Style 01 Gray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E459937-BB06-4384-B2DC-C8246E4B493E}" name="Tbl_Lkp_YN" displayName="Tbl_Lkp_YN" ref="C1:C3" totalsRowShown="0" headerRowDxfId="3" dataDxfId="1" headerRowBorderDxfId="2" dataCellStyle="Input">
  <tableColumns count="1">
    <tableColumn id="1" xr3:uid="{BA323957-E49C-46CE-8727-E794AE383131}" name="YesNo" dataDxfId="0" dataCellStyle="Input"/>
  </tableColumns>
  <tableStyleInfo name="Shir Style 01 Gray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29758F87-9E2B-45BA-8BB6-B6658A9EB4E7}" name="Tbl_A1_FormulaElementsIntro_ANS" displayName="Tbl_A1_FormulaElementsIntro_ANS" ref="B7:F11" headerRowDxfId="348" dataDxfId="346" headerRowBorderDxfId="347">
  <tableColumns count="5">
    <tableColumn id="2" xr3:uid="{2C6555F4-7382-460E-9E6C-78E40DC80BE6}" name="ID" totalsRowLabel="Total" dataDxfId="345" totalsRowDxfId="344">
      <calculatedColumnFormula>ROW(B8)-ROW(B$7)</calculatedColumnFormula>
    </tableColumn>
    <tableColumn id="3" xr3:uid="{9145FE66-E0CC-4504-9EED-2AB90AFFEB2A}" name="Formula Excerpt" dataDxfId="343" totalsRowDxfId="342"/>
    <tableColumn id="5" xr3:uid="{56B1DB86-6C39-4A60-8442-646D1C51E892}" name="Formula Element" totalsRowFunction="count" dataDxfId="341" dataCellStyle="Input"/>
    <tableColumn id="1" xr3:uid="{9108AAD7-84FA-4463-A924-C23F963708F6}" name="Answer Status Q01" dataDxfId="340" totalsRowDxfId="339">
      <calculatedColumnFormula>IFERROR(IF(Tbl_A1_FormulaElementsIntro_ANS[[#This Row],[Formula Element]]="","",IF(EXACT(Tbl_A1_FormulaElementsIntro_ANS[[#This Row],[Formula Element]],Tbl_A1_FormulaElementsIntro_ANS[[#This Row],[Formula Element ANS]]),Rng_Lkp_AnswerStatus_Good,Rng_Lkp_AnswerStatus_Bad)),Rng_Lkp_AnswerStatus_Bad)</calculatedColumnFormula>
    </tableColumn>
    <tableColumn id="6" xr3:uid="{8381D09A-FB63-45B6-99FC-43614B407136}" name="Formula Element ANS" dataDxfId="338" dataCellStyle="Highlight Difference"/>
  </tableColumns>
  <tableStyleInfo name="Excel Minimal 04 Green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9DE4539-5623-4B78-893B-EF0421E55855}" name="Tbl_A1_FormulaElements_01" displayName="Tbl_A1_FormulaElements_01" ref="B7:O15" headerRowDxfId="335" dataDxfId="333" headerRowBorderDxfId="334">
  <tableColumns count="14">
    <tableColumn id="2" xr3:uid="{97E3EF05-2066-4C28-9866-E47E5CBC1140}" name="ID" totalsRowLabel="Total" dataDxfId="332" totalsRowDxfId="331">
      <calculatedColumnFormula>ROW(B8)-ROW(B$7)</calculatedColumnFormula>
    </tableColumn>
    <tableColumn id="3" xr3:uid="{C2C82B14-8104-4435-BADE-DA2EFB4C5DC0}" name="Formula Example" dataDxfId="330" totalsRowDxfId="329"/>
    <tableColumn id="5" xr3:uid="{1D23A987-C79C-45B1-9B3E-C7B88F1CE27F}" name="Contains Function(s) Y/N" totalsRowFunction="count" dataDxfId="328" dataCellStyle="Input"/>
    <tableColumn id="1" xr3:uid="{BB8A390C-602B-4864-8C53-624977D86DCB}" name="Answer Status Q01" dataDxfId="327" totalsRowDxfId="326">
      <calculatedColumnFormula>IFERROR(IF(Tbl_A1_FormulaElements_01[[#This Row],[Contains Function(s) Y/N]]="","",IF(EXACT(Tbl_A1_FormulaElements_01[[#This Row],[Contains Function(s) Y/N]],Tbl_A1_FormulaElements_01[[#This Row],[Contains Function(s) Y/N ANS]]),Rng_Lkp_AnswerStatus_Good,Rng_Lkp_AnswerStatus_Bad)),Rng_Lkp_AnswerStatus_Bad)</calculatedColumnFormula>
    </tableColumn>
    <tableColumn id="6" xr3:uid="{43B5B194-E228-449E-BD6F-F3887AB7E7AA}" name="Contains Function(s) Y/N ANS" dataDxfId="325" dataCellStyle="Highlight Difference"/>
    <tableColumn id="14" xr3:uid="{1E0EA72F-C393-4C6A-8A48-17F5EEEE6EE2}" name="Contains Reference(s) Y/N" dataDxfId="324" totalsRowDxfId="323" dataCellStyle="Input"/>
    <tableColumn id="15" xr3:uid="{009F021A-E6CC-4194-8911-D2F1D930673E}" name="Answer Status Q02" dataDxfId="322" totalsRowDxfId="321">
      <calculatedColumnFormula>IFERROR(IF(Tbl_A1_FormulaElements_01[[#This Row],[Contains Reference(s) Y/N]]="","",IF(EXACT(Tbl_A1_FormulaElements_01[[#This Row],[Contains Reference(s) Y/N]],Tbl_A1_FormulaElements_01[[#This Row],[Contains Reference(s) Y/N ANS]]),Rng_Lkp_AnswerStatus_Good,Rng_Lkp_AnswerStatus_Bad)),Rng_Lkp_AnswerStatus_Bad)</calculatedColumnFormula>
    </tableColumn>
    <tableColumn id="16" xr3:uid="{2C48D655-2A1C-43FC-B84F-0FC91429A7A1}" name="Contains Reference(s) Y/N ANS" dataDxfId="320" totalsRowDxfId="319" dataCellStyle="Highlight Difference"/>
    <tableColumn id="17" xr3:uid="{A4031DD2-00FE-43EC-84BD-CDAF603779EA}" name="Contains Operator(s) Y/N" dataDxfId="318" totalsRowDxfId="317" dataCellStyle="Input"/>
    <tableColumn id="18" xr3:uid="{DF0319DE-C1D3-4F06-9C2B-CECA870C2210}" name="Answer Status Q03" dataDxfId="316" totalsRowDxfId="315">
      <calculatedColumnFormula>IFERROR(IF(Tbl_A1_FormulaElements_01[[#This Row],[Contains Operator(s) Y/N]]="","",IF(EXACT(Tbl_A1_FormulaElements_01[[#This Row],[Contains Operator(s) Y/N]],Tbl_A1_FormulaElements_01[[#This Row],[Contains Operator(s) Y/N ANS]]),Rng_Lkp_AnswerStatus_Good,Rng_Lkp_AnswerStatus_Bad)),Rng_Lkp_AnswerStatus_Bad)</calculatedColumnFormula>
    </tableColumn>
    <tableColumn id="19" xr3:uid="{76F548FB-1A8C-413C-874C-6346367E7FAB}" name="Contains Operator(s) Y/N ANS" dataDxfId="314" totalsRowDxfId="313" dataCellStyle="Highlight Difference"/>
    <tableColumn id="20" xr3:uid="{16536B95-1417-4B75-9274-C540D25FDFD1}" name="Contains Constant(s) Y/N" dataDxfId="312" totalsRowDxfId="311" dataCellStyle="Input"/>
    <tableColumn id="21" xr3:uid="{7813D89B-4662-428B-944E-24CAE07ED060}" name="Answer Status Q04" dataDxfId="310" totalsRowDxfId="309">
      <calculatedColumnFormula>IFERROR(IF(Tbl_A1_FormulaElements_01[[#This Row],[Contains Constant(s) Y/N]]="","",IF(EXACT(Tbl_A1_FormulaElements_01[[#This Row],[Contains Constant(s) Y/N]],Tbl_A1_FormulaElements_01[[#This Row],[Contains Constant(s) Y/N ANS]]),Rng_Lkp_AnswerStatus_Good,Rng_Lkp_AnswerStatus_Bad)),Rng_Lkp_AnswerStatus_Bad)</calculatedColumnFormula>
    </tableColumn>
    <tableColumn id="22" xr3:uid="{CE714639-A4AE-4964-AB2D-74F74E3A3CAA}" name="Contains Constant(s) Y/N ANS" dataDxfId="308" totalsRowDxfId="307" dataCellStyle="Highlight Difference"/>
  </tableColumns>
  <tableStyleInfo name="Excel Minimal 04 Green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2C71C50-4F00-45EB-B056-40936EBD6561}" name="Tbl_A1_FormulaElements_ANS" displayName="Tbl_A1_FormulaElements_ANS" ref="B7:O15" headerRowDxfId="304" dataDxfId="302" headerRowBorderDxfId="303">
  <tableColumns count="14">
    <tableColumn id="2" xr3:uid="{FC369BD2-4E3A-48DA-AE04-1E8298EC11D2}" name="ID" totalsRowLabel="Total" dataDxfId="301" totalsRowDxfId="300">
      <calculatedColumnFormula>ROW(B8)-ROW(B$7)</calculatedColumnFormula>
    </tableColumn>
    <tableColumn id="3" xr3:uid="{C17CD08C-8FA9-47E1-BA6F-455C0BF83E3A}" name="Formula Example" dataDxfId="299" totalsRowDxfId="298"/>
    <tableColumn id="5" xr3:uid="{C9FB8B1F-D8F8-45DA-831C-8F74C21F2F47}" name="Contains Function(s) Y/N" totalsRowFunction="count" dataDxfId="297" dataCellStyle="Input"/>
    <tableColumn id="1" xr3:uid="{A9CE84EA-FFF1-4F52-A640-FA5A0E12F23C}" name="Answer Status Q01" dataDxfId="296" totalsRowDxfId="295">
      <calculatedColumnFormula>IFERROR(IF(Tbl_A1_FormulaElements_ANS[[#This Row],[Contains Function(s) Y/N]]="","",IF(EXACT(Tbl_A1_FormulaElements_ANS[[#This Row],[Contains Function(s) Y/N]],Tbl_A1_FormulaElements_ANS[[#This Row],[Contains Function(s) Y/N ANS]]),Rng_Lkp_AnswerStatus_Good,Rng_Lkp_AnswerStatus_Bad)),Rng_Lkp_AnswerStatus_Bad)</calculatedColumnFormula>
    </tableColumn>
    <tableColumn id="6" xr3:uid="{AD2E81C1-7FDC-4C11-B448-9084EB884F71}" name="Contains Function(s) Y/N ANS" dataDxfId="294" dataCellStyle="Highlight Difference"/>
    <tableColumn id="14" xr3:uid="{9F5BA233-B52F-4190-A745-152A168C4207}" name="Contains Reference(s) Y/N" dataDxfId="293" totalsRowDxfId="292" dataCellStyle="Input"/>
    <tableColumn id="15" xr3:uid="{99119C04-7E69-4D31-85A7-9AD2995D9834}" name="Answer Status Q02" dataDxfId="291" totalsRowDxfId="290">
      <calculatedColumnFormula>IFERROR(IF(Tbl_A1_FormulaElements_ANS[[#This Row],[Contains Reference(s) Y/N]]="","",IF(EXACT(Tbl_A1_FormulaElements_ANS[[#This Row],[Contains Reference(s) Y/N]],Tbl_A1_FormulaElements_ANS[[#This Row],[Contains Reference(s) Y/N ANS]]),Rng_Lkp_AnswerStatus_Good,Rng_Lkp_AnswerStatus_Bad)),Rng_Lkp_AnswerStatus_Bad)</calculatedColumnFormula>
    </tableColumn>
    <tableColumn id="16" xr3:uid="{AF17118B-43C2-4B15-89C1-C37B874CF8A1}" name="Contains Reference(s) Y/N ANS" dataDxfId="289" totalsRowDxfId="288" dataCellStyle="Highlight Difference"/>
    <tableColumn id="17" xr3:uid="{EF0EDDF8-5F15-4AE1-89CC-672FAB9625DF}" name="Contains Operator(s) Y/N" dataDxfId="287" totalsRowDxfId="286" dataCellStyle="Input"/>
    <tableColumn id="18" xr3:uid="{6E12F3A5-8A90-4B47-9736-4AAB3AF67932}" name="Answer Status Q03" dataDxfId="285" totalsRowDxfId="284">
      <calculatedColumnFormula>IFERROR(IF(Tbl_A1_FormulaElements_ANS[[#This Row],[Contains Operator(s) Y/N]]="","",IF(EXACT(Tbl_A1_FormulaElements_ANS[[#This Row],[Contains Operator(s) Y/N]],Tbl_A1_FormulaElements_ANS[[#This Row],[Contains Operator(s) Y/N ANS]]),Rng_Lkp_AnswerStatus_Good,Rng_Lkp_AnswerStatus_Bad)),Rng_Lkp_AnswerStatus_Bad)</calculatedColumnFormula>
    </tableColumn>
    <tableColumn id="19" xr3:uid="{43487D10-47E6-4DAE-A587-7DEFDACB2053}" name="Contains Operator(s) Y/N ANS" dataDxfId="283" totalsRowDxfId="282" dataCellStyle="Highlight Difference"/>
    <tableColumn id="20" xr3:uid="{F0336F6D-8ABE-4851-BDF6-E3D9B90BFFA7}" name="Contains Constant(s) Y/N" dataDxfId="281" totalsRowDxfId="280" dataCellStyle="Input"/>
    <tableColumn id="21" xr3:uid="{5762933D-CB5D-4DC5-807B-598C7D9C3CB5}" name="Answer Status Q04" dataDxfId="279" totalsRowDxfId="278">
      <calculatedColumnFormula>IFERROR(IF(Tbl_A1_FormulaElements_ANS[[#This Row],[Contains Constant(s) Y/N]]="","",IF(EXACT(Tbl_A1_FormulaElements_ANS[[#This Row],[Contains Constant(s) Y/N]],Tbl_A1_FormulaElements_ANS[[#This Row],[Contains Constant(s) Y/N ANS]]),Rng_Lkp_AnswerStatus_Good,Rng_Lkp_AnswerStatus_Bad)),Rng_Lkp_AnswerStatus_Bad)</calculatedColumnFormula>
    </tableColumn>
    <tableColumn id="22" xr3:uid="{9DFE33A9-F750-447E-97B5-358CB878D526}" name="Contains Constant(s) Y/N ANS" dataDxfId="277" totalsRowDxfId="276" dataCellStyle="Highlight Difference"/>
  </tableColumns>
  <tableStyleInfo name="Excel Minimal 04 Green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CD60AC32-51F8-4D8C-B2A0-B3AD7DF1B595}" name="Tbl_A2_Syntax_01" displayName="Tbl_A2_Syntax_01" ref="B7:W27" headerRowDxfId="273" dataDxfId="271" headerRowBorderDxfId="272">
  <tableColumns count="22">
    <tableColumn id="2" xr3:uid="{1D1A4CA0-8961-416B-A7C3-1554D4A68D81}" name="Account ID" totalsRowLabel="Total" dataDxfId="270" totalsRowDxfId="269"/>
    <tableColumn id="3" xr3:uid="{2977C050-245C-4759-B2F3-076F0B6DE18D}" name="Full Name" dataDxfId="268" totalsRowDxfId="267"/>
    <tableColumn id="4" xr3:uid="{BCD43F25-32CC-48CF-BDC4-B2E5BD3C01F1}" name="Member Dues Year 1" dataDxfId="266"/>
    <tableColumn id="19" xr3:uid="{6C80C285-4B69-4802-81B6-51AD41CF9CD1}" name="Member Dues Year 2" dataDxfId="265"/>
    <tableColumn id="5" xr3:uid="{E587E422-71B2-4524-945D-B433BFECA613}" name="% Change (Y2 - Y1) / Y1" totalsRowFunction="count" dataDxfId="264" dataCellStyle="Input"/>
    <tableColumn id="1" xr3:uid="{04ED18E2-0A12-4595-889E-2A9CF49C557D}" name="Answer Status Q01" dataDxfId="263" totalsRowDxfId="262">
      <calculatedColumnFormula>IFERROR(IF(Tbl_A2_Syntax_01[[#This Row],[% Change (Y2 - Y1) / Y1]]="","",IF(AND(_xlfn.ISFORMULA(Tbl_A2_Syntax_01[[#This Row],[% Change (Y2 - Y1) / Y1]]),EXACT(Tbl_A2_Syntax_01[[#This Row],[% Change (Y2 - Y1) / Y1]],Tbl_A2_Syntax_01[[#This Row],[% Change (Y2 - Y1) / Y1 ANS]])),Rng_Lkp_AnswerStatus_Good,Rng_Lkp_AnswerStatus_Bad)),Rng_Lkp_AnswerStatus_Bad)</calculatedColumnFormula>
    </tableColumn>
    <tableColumn id="6" xr3:uid="{813AF4AB-7216-416C-8A12-2CC8FC2A7DEE}" name="% Change (Y2 - Y1) / Y1 ANS" dataDxfId="261" dataCellStyle="Highlight Difference"/>
    <tableColumn id="7" xr3:uid="{C21B2418-3CCB-4822-9179-C776EBA2DF10}" name="Member Dues Y1^2" dataDxfId="260" dataCellStyle="Input"/>
    <tableColumn id="8" xr3:uid="{35C4C182-1EEF-4B3D-A38C-D77643658701}" name="Answer Status Q02" dataDxfId="259" totalsRowDxfId="258">
      <calculatedColumnFormula>IFERROR(IF(Tbl_A2_Syntax_01[[#This Row],[Member Dues Y1^2]]="","",IF(AND(_xlfn.ISFORMULA(Tbl_A2_Syntax_01[[#This Row],[Member Dues Y1^2]]),EXACT(Tbl_A2_Syntax_01[[#This Row],[Member Dues Y1^2]],Tbl_A2_Syntax_01[[#This Row],[Membership Dues Y1^2 ANS]])),Rng_Lkp_AnswerStatus_Good,Rng_Lkp_AnswerStatus_Bad)),Rng_Lkp_AnswerStatus_Bad)</calculatedColumnFormula>
    </tableColumn>
    <tableColumn id="9" xr3:uid="{A11CB758-85C0-4E5E-8F4A-34267BC8D3FC}" name="Membership Dues Y1^2 ANS" dataDxfId="257" totalsRowDxfId="256" dataCellStyle="Highlight Difference"/>
    <tableColumn id="10" xr3:uid="{7A260EA5-F903-4D77-9FC2-E9C9EB5BF311}" name="Is Y1 Less Than or Equal to Y2" dataDxfId="255" totalsRowDxfId="254"/>
    <tableColumn id="11" xr3:uid="{484D05B1-3CCC-42AE-8CB9-A96EB4A158EE}" name="Answer Status Q03" dataDxfId="253" totalsRowDxfId="252">
      <calculatedColumnFormula>IFERROR(IF(Tbl_A2_Syntax_01[[#This Row],[Is Y1 Less Than or Equal to Y2]]="","",IF(AND(_xlfn.ISFORMULA(Tbl_A2_Syntax_01[[#This Row],[Is Y1 Less Than or Equal to Y2]]),EXACT(Tbl_A2_Syntax_01[[#This Row],[Is Y1 Less Than or Equal to Y2]],Tbl_A2_Syntax_01[[#This Row],[Is Y1 Less Than or Equal to Y2 ANS]])),Rng_Lkp_AnswerStatus_Good,Rng_Lkp_AnswerStatus_Bad)),Rng_Lkp_AnswerStatus_Bad)</calculatedColumnFormula>
    </tableColumn>
    <tableColumn id="12" xr3:uid="{E9D70638-2CAC-4189-B2D9-8B52E017518D}" name="Is Y1 Less Than or Equal to Y2 ANS" dataDxfId="251" totalsRowDxfId="250"/>
    <tableColumn id="13" xr3:uid="{EF326DD8-A19F-4E55-8386-57BA05FFCDEB}" name="Is Y1 Equal to Y2" dataDxfId="249" totalsRowDxfId="248"/>
    <tableColumn id="14" xr3:uid="{7FA5D279-32B7-4444-9788-60A852EC1D41}" name="Answer Status Q04" dataDxfId="247" totalsRowDxfId="246">
      <calculatedColumnFormula>IFERROR(IF(Tbl_A2_Syntax_01[[#This Row],[Is Y1 Equal to Y2]]="","",IF(AND(_xlfn.ISFORMULA(Tbl_A2_Syntax_01[[#This Row],[Is Y1 Equal to Y2]]),EXACT(Tbl_A2_Syntax_01[[#This Row],[Is Y1 Equal to Y2]],Tbl_A2_Syntax_01[[#This Row],[Is Y1 Equal to Y2 ANS]])),Rng_Lkp_AnswerStatus_Good,Rng_Lkp_AnswerStatus_Bad)),Rng_Lkp_AnswerStatus_Bad)</calculatedColumnFormula>
    </tableColumn>
    <tableColumn id="15" xr3:uid="{58322767-4FC7-445B-B748-B32F987CE705}" name="Is Y1 Equal to Y2 ANS" dataDxfId="245" totalsRowDxfId="244"/>
    <tableColumn id="20" xr3:uid="{D0CDDF27-BE86-4361-9728-E41804636921}" name="Is Y1 Not Equal to Y2" dataDxfId="243" totalsRowDxfId="242"/>
    <tableColumn id="21" xr3:uid="{399DC56A-40B0-4672-B8A5-5B039C1C7072}" name="Answer Status Q05" dataDxfId="241" totalsRowDxfId="240">
      <calculatedColumnFormula>IFERROR(IF(Tbl_A2_Syntax_01[[#This Row],[Is Y1 Not Equal to Y2]]="","",IF(AND(_xlfn.ISFORMULA(Tbl_A2_Syntax_01[[#This Row],[Is Y1 Not Equal to Y2]]),EXACT(Tbl_A2_Syntax_01[[#This Row],[Is Y1 Not Equal to Y2]],Tbl_A2_Syntax_01[[#This Row],[Is Y1 Not Equal to Y2 ANS]])),Rng_Lkp_AnswerStatus_Good,Rng_Lkp_AnswerStatus_Bad)),Rng_Lkp_AnswerStatus_Bad)</calculatedColumnFormula>
    </tableColumn>
    <tableColumn id="22" xr3:uid="{5E0A94E2-57DE-4254-86C6-8AC3E640994A}" name="Is Y1 Not Equal to Y2 ANS" dataDxfId="239" totalsRowDxfId="238"/>
    <tableColumn id="16" xr3:uid="{B6C3C143-8A14-4A37-B3F3-0DA1E8E590AE}" name="Account ID: Full Name" dataDxfId="237" totalsRowDxfId="236" dataCellStyle="Input"/>
    <tableColumn id="17" xr3:uid="{4E4AE856-36EF-4A97-9AC4-9A40CEECB9E5}" name="Answer Status Q06" dataDxfId="235" totalsRowDxfId="234">
      <calculatedColumnFormula>IFERROR(IF(Tbl_A2_Syntax_01[[#This Row],[Account ID: Full Name]]="","",IF(AND(_xlfn.ISFORMULA(Tbl_A2_Syntax_01[[#This Row],[Account ID: Full Name]]),EXACT(Tbl_A2_Syntax_01[[#This Row],[Account ID: Full Name]],Tbl_A2_Syntax_01[[#This Row],[Account ID: Full Name ANS]])),Rng_Lkp_AnswerStatus_Good,Rng_Lkp_AnswerStatus_Bad)),Rng_Lkp_AnswerStatus_Bad)</calculatedColumnFormula>
    </tableColumn>
    <tableColumn id="18" xr3:uid="{04F1172B-2557-496A-A6FD-9F6DA9EF2126}" name="Account ID: Full Name ANS" dataDxfId="233" totalsRowDxfId="232" dataCellStyle="Highlight Difference"/>
  </tableColumns>
  <tableStyleInfo name="Excel Minimal 05 Purple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965BC69-107E-4208-A761-A37637CACC90}" name="Tbl_A2_Syntax_ANS" displayName="Tbl_A2_Syntax_ANS" ref="B7:W27" headerRowDxfId="229" dataDxfId="227" headerRowBorderDxfId="228">
  <tableColumns count="22">
    <tableColumn id="2" xr3:uid="{CCBCC8E4-6A7F-47E3-A9B8-467C91B63EAF}" name="Account ID" totalsRowLabel="Total" dataDxfId="226" totalsRowDxfId="225"/>
    <tableColumn id="3" xr3:uid="{B4EBB372-8EAA-4F55-A535-D81BE8B506A0}" name="Full Name" dataDxfId="224" totalsRowDxfId="223"/>
    <tableColumn id="4" xr3:uid="{F4B7CE5A-676F-4C1A-9C54-73194206AF69}" name="Member Dues Year 1" dataDxfId="222"/>
    <tableColumn id="19" xr3:uid="{3A65167D-3904-4D6C-A122-D88A1085B628}" name="Member Dues Year 2" dataDxfId="221"/>
    <tableColumn id="5" xr3:uid="{D2FE3EA2-652C-466E-9259-EF52FEDDE864}" name="% Change (Y2 - Y1) / Y1" totalsRowFunction="count" dataDxfId="220" dataCellStyle="Input">
      <calculatedColumnFormula>(Tbl_A2_Syntax_ANS[[#This Row],[Member Dues Year 2]]-Tbl_A2_Syntax_ANS[[#This Row],[Member Dues Year 1]]) / Tbl_A2_Syntax_ANS[[#This Row],[Member Dues Year 1]]</calculatedColumnFormula>
    </tableColumn>
    <tableColumn id="1" xr3:uid="{5BB62D41-60A8-45BB-8B68-6AE44BDE6DFB}" name="Answer Status Q01" dataDxfId="219" totalsRowDxfId="218">
      <calculatedColumnFormula>IFERROR(IF(Tbl_A2_Syntax_ANS[[#This Row],[% Change (Y2 - Y1) / Y1]]="","",IF(AND(_xlfn.ISFORMULA(Tbl_A2_Syntax_ANS[[#This Row],[% Change (Y2 - Y1) / Y1]]),EXACT(Tbl_A2_Syntax_ANS[[#This Row],[% Change (Y2 - Y1) / Y1]],Tbl_A2_Syntax_ANS[[#This Row],[% Change (Y2 - Y1) / Y1 ANS]])),Rng_Lkp_AnswerStatus_Good,Rng_Lkp_AnswerStatus_Bad)),Rng_Lkp_AnswerStatus_Bad)</calculatedColumnFormula>
    </tableColumn>
    <tableColumn id="6" xr3:uid="{005DFC05-08E4-4742-BD88-211074FA32CC}" name="% Change (Y2 - Y1) / Y1 ANS" dataDxfId="217" dataCellStyle="Highlight Difference"/>
    <tableColumn id="7" xr3:uid="{1B362184-B0C6-45CF-9655-6B9077331547}" name="Member Dues Y1^2" dataDxfId="216" dataCellStyle="Input">
      <calculatedColumnFormula>Tbl_A2_Syntax_ANS[[#This Row],[Member Dues Year 1]]^2</calculatedColumnFormula>
    </tableColumn>
    <tableColumn id="8" xr3:uid="{29E9FF2D-33B4-46FA-99D7-35E0773A3178}" name="Answer Status Q02" dataDxfId="215" totalsRowDxfId="214">
      <calculatedColumnFormula>IFERROR(IF(Tbl_A2_Syntax_ANS[[#This Row],[Member Dues Y1^2]]="","",IF(AND(_xlfn.ISFORMULA(Tbl_A2_Syntax_ANS[[#This Row],[Member Dues Y1^2]]),EXACT(Tbl_A2_Syntax_ANS[[#This Row],[Member Dues Y1^2]],Tbl_A2_Syntax_ANS[[#This Row],[Membership Dues Y1^2 ANS]])),Rng_Lkp_AnswerStatus_Good,Rng_Lkp_AnswerStatus_Bad)),Rng_Lkp_AnswerStatus_Bad)</calculatedColumnFormula>
    </tableColumn>
    <tableColumn id="9" xr3:uid="{32892B2E-B6EB-469E-9906-C129EE5861DE}" name="Membership Dues Y1^2 ANS" dataDxfId="213" totalsRowDxfId="212" dataCellStyle="Highlight Difference"/>
    <tableColumn id="10" xr3:uid="{95C7DAE9-A86B-4B01-AF51-58A7E6ED3AC4}" name="Is Y1 Less Than or Equal to Y2" dataDxfId="211" totalsRowDxfId="210">
      <calculatedColumnFormula>Tbl_A2_Syntax_ANS[[#This Row],[Member Dues Year 1]]&lt;=Tbl_A2_Syntax_ANS[[#This Row],[Member Dues Year 2]]</calculatedColumnFormula>
    </tableColumn>
    <tableColumn id="11" xr3:uid="{AEDE77AA-B38B-4068-9AE7-F055F429814D}" name="Answer Status Q03" dataDxfId="209" totalsRowDxfId="208">
      <calculatedColumnFormula>IFERROR(IF(Tbl_A2_Syntax_ANS[[#This Row],[Is Y1 Less Than or Equal to Y2]]="","",IF(AND(_xlfn.ISFORMULA(Tbl_A2_Syntax_ANS[[#This Row],[Is Y1 Less Than or Equal to Y2]]),EXACT(Tbl_A2_Syntax_ANS[[#This Row],[Is Y1 Less Than or Equal to Y2]],Tbl_A2_Syntax_ANS[[#This Row],[Is Y1 Less Than or Equal to Y2 ANS]])),Rng_Lkp_AnswerStatus_Good,Rng_Lkp_AnswerStatus_Bad)),Rng_Lkp_AnswerStatus_Bad)</calculatedColumnFormula>
    </tableColumn>
    <tableColumn id="12" xr3:uid="{7A47A8CA-DC51-4129-905A-2AF70A4E3EDA}" name="Is Y1 Less Than or Equal to Y2 ANS" dataDxfId="207" totalsRowDxfId="206"/>
    <tableColumn id="13" xr3:uid="{F39B0B8D-30B5-483A-B7AB-8B9EFD146E52}" name="Is Y1 Equal to Y2" dataDxfId="205" totalsRowDxfId="204">
      <calculatedColumnFormula>Tbl_A2_Syntax_ANS[[#This Row],[Member Dues Year 1]]=Tbl_A2_Syntax_ANS[[#This Row],[Member Dues Year 2]]</calculatedColumnFormula>
    </tableColumn>
    <tableColumn id="14" xr3:uid="{128014CB-0E12-485F-9EB8-31669EC55166}" name="Answer Status Q04" dataDxfId="203" totalsRowDxfId="202">
      <calculatedColumnFormula>IFERROR(IF(Tbl_A2_Syntax_ANS[[#This Row],[Is Y1 Equal to Y2]]="","",IF(AND(_xlfn.ISFORMULA(Tbl_A2_Syntax_ANS[[#This Row],[Is Y1 Equal to Y2]]),EXACT(Tbl_A2_Syntax_ANS[[#This Row],[Is Y1 Equal to Y2]],Tbl_A2_Syntax_ANS[[#This Row],[Is Y1 Equal to Y2 ANS]])),Rng_Lkp_AnswerStatus_Good,Rng_Lkp_AnswerStatus_Bad)),Rng_Lkp_AnswerStatus_Bad)</calculatedColumnFormula>
    </tableColumn>
    <tableColumn id="15" xr3:uid="{18A726AC-CDC0-438C-9E5F-63CD2E357DAF}" name="Is Y1 Equal to Y2 ANS" dataDxfId="201" totalsRowDxfId="200"/>
    <tableColumn id="20" xr3:uid="{54C1A16D-9BA2-4479-9CA7-898730F09D30}" name="Is Y1 Not Equal to Y2" dataDxfId="199" totalsRowDxfId="198">
      <calculatedColumnFormula>Tbl_A2_Syntax_ANS[[#This Row],[Member Dues Year 1]]&lt;&gt;Tbl_A2_Syntax_ANS[[#This Row],[Member Dues Year 2]]</calculatedColumnFormula>
    </tableColumn>
    <tableColumn id="21" xr3:uid="{8B401E02-5BAE-467D-AA41-B3CADE051C79}" name="Answer Status Q05" dataDxfId="197" totalsRowDxfId="196">
      <calculatedColumnFormula>IFERROR(IF(Tbl_A2_Syntax_ANS[[#This Row],[Is Y1 Not Equal to Y2]]="","",IF(AND(_xlfn.ISFORMULA(Tbl_A2_Syntax_ANS[[#This Row],[Is Y1 Not Equal to Y2]]),EXACT(Tbl_A2_Syntax_ANS[[#This Row],[Is Y1 Not Equal to Y2]],Tbl_A2_Syntax_ANS[[#This Row],[Is Y1 Not Equal to Y2 ANS]])),Rng_Lkp_AnswerStatus_Good,Rng_Lkp_AnswerStatus_Bad)),Rng_Lkp_AnswerStatus_Bad)</calculatedColumnFormula>
    </tableColumn>
    <tableColumn id="22" xr3:uid="{DFF8D137-680E-4CB0-A2A3-84EC0F2A0034}" name="Is Y1 Not Equal to Y2 ANS" dataDxfId="195" totalsRowDxfId="194"/>
    <tableColumn id="16" xr3:uid="{F9CB6459-276E-4986-BC48-E14AF11F820C}" name="Account ID: Full Name" dataDxfId="193" totalsRowDxfId="192" dataCellStyle="Input">
      <calculatedColumnFormula>Tbl_A2_Syntax_ANS[[#This Row],[Account ID]] &amp; ": " &amp; Tbl_A2_Syntax_ANS[[#This Row],[Full Name]]</calculatedColumnFormula>
    </tableColumn>
    <tableColumn id="17" xr3:uid="{EEB9825F-F147-4ACA-BF9B-6DF3B811B8DC}" name="Answer Status Q06" dataDxfId="191" totalsRowDxfId="190">
      <calculatedColumnFormula>IFERROR(IF(Tbl_A2_Syntax_ANS[[#This Row],[Account ID: Full Name]]="","",IF(AND(_xlfn.ISFORMULA(Tbl_A2_Syntax_ANS[[#This Row],[Account ID: Full Name]]),EXACT(Tbl_A2_Syntax_ANS[[#This Row],[Account ID: Full Name]],Tbl_A2_Syntax_ANS[[#This Row],[Account ID: Full Name ANS]])),Rng_Lkp_AnswerStatus_Good,Rng_Lkp_AnswerStatus_Bad)),Rng_Lkp_AnswerStatus_Bad)</calculatedColumnFormula>
    </tableColumn>
    <tableColumn id="18" xr3:uid="{AF934F1A-0F0D-4776-BC2E-319CEE14E047}" name="Account ID: Full Name ANS" dataDxfId="189" totalsRowDxfId="188" dataCellStyle="Highlight Difference"/>
  </tableColumns>
  <tableStyleInfo name="Excel Minimal 05 Purple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70A17F1-5C46-4ED6-B336-1EB0E07949B1}" name="Tbl_B3_Placeholders_01" displayName="Tbl_B3_Placeholders_01" ref="B7:J27" headerRowDxfId="185" dataDxfId="183" headerRowBorderDxfId="184">
  <tableColumns count="9">
    <tableColumn id="2" xr3:uid="{41765F66-9908-4945-9695-80394468864E}" name="Account ID" totalsRowLabel="Total" dataDxfId="182" totalsRowDxfId="181"/>
    <tableColumn id="3" xr3:uid="{A9E2A422-9DB3-4EC3-9510-EBBB93BD0694}" name="Full Name" dataDxfId="180" totalsRowDxfId="179"/>
    <tableColumn id="26" xr3:uid="{0610C4CF-5A9E-44F9-93A0-F20F68B6A602}" name="State" dataDxfId="178" totalsRowDxfId="177"/>
    <tableColumn id="5" xr3:uid="{A3D7D0F9-A397-45D4-93E3-8407064C3925}" name="Is State &quot;NY&quot; (&quot;blah true&quot; or &quot;blah false&quot;)" totalsRowFunction="count" dataDxfId="176" dataCellStyle="Input"/>
    <tableColumn id="1" xr3:uid="{C122DBD4-EE51-46DA-B808-1CE7626EBCA4}" name="Answer Status Q01" dataDxfId="175" totalsRowDxfId="174">
      <calculatedColumnFormula>IFERROR(IF(Tbl_B3_Placeholders_01[[#This Row],[Is State "NY" ("blah true" or "blah false")]]="","",IF(AND(_xlfn.ISFORMULA(Tbl_B3_Placeholders_01[[#This Row],[Is State "NY" ("blah true" or "blah false")]]),EXACT(Tbl_B3_Placeholders_01[[#This Row],[Is State "NY" ("blah true" or "blah false")]],Tbl_B3_Placeholders_01[[#This Row],[Is State "NY" ("blah true" or "blah false") ANS]])),Rng_Lkp_AnswerStatus_Good,Rng_Lkp_AnswerStatus_Bad)),Rng_Lkp_AnswerStatus_Bad)</calculatedColumnFormula>
    </tableColumn>
    <tableColumn id="6" xr3:uid="{854C4FFB-6CF9-4DD0-B315-4DB105BA47CD}" name="Is State &quot;NY&quot; (&quot;blah true&quot; or &quot;blah false&quot;) ANS" dataDxfId="173" dataCellStyle="Highlight Difference"/>
    <tableColumn id="7" xr3:uid="{66A9B193-061E-40C6-AC52-C2F96FBA54E7}" name="Is State &quot;NY&quot; (If true, show Account ID: Full Name. If false, show Account ID only)" dataDxfId="172" dataCellStyle="Input"/>
    <tableColumn id="8" xr3:uid="{9873F07E-31B0-4951-85C8-AF40276D75B3}" name="Answer Status Q02" dataDxfId="171" totalsRowDxfId="170">
      <calculatedColumnFormula>IFERROR(IF(Tbl_B3_Placeholders_01[[#This Row],[Is State "NY" (If true, show Account ID: Full Name. If false, show Account ID only)]]="","",IF(AND(_xlfn.ISFORMULA(Tbl_B3_Placeholders_01[[#This Row],[Is State "NY" (If true, show Account ID: Full Name. If false, show Account ID only)]]),EXACT(Tbl_B3_Placeholders_01[[#This Row],[Is State "NY" (If true, show Account ID: Full Name. If false, show Account ID only)]],Tbl_B3_Placeholders_01[[#This Row],[Is State "NY" (If true, show Account ID: Full Name. If false, show Account ID only) ANS]])),Rng_Lkp_AnswerStatus_Good,Rng_Lkp_AnswerStatus_Bad)),Rng_Lkp_AnswerStatus_Bad)</calculatedColumnFormula>
    </tableColumn>
    <tableColumn id="9" xr3:uid="{6C0824C9-FCAA-420B-9E28-24840C199962}" name="Is State &quot;NY&quot; (If true, show Account ID: Full Name. If false, show Account ID only) ANS" dataDxfId="169" totalsRowDxfId="168" dataCellStyle="Highlight Difference"/>
  </tableColumns>
  <tableStyleInfo name="Excel Minimal 06 Light Blue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EB324A71-A8D9-473E-9EB0-63CE6C8CB4F1}" name="Tbl_B3_Placeholders_ANS" displayName="Tbl_B3_Placeholders_ANS" ref="B7:J27" headerRowDxfId="165" dataDxfId="163" headerRowBorderDxfId="164">
  <tableColumns count="9">
    <tableColumn id="2" xr3:uid="{E6AC740D-D60C-49EA-ADDC-F39029C35A12}" name="Account ID" totalsRowLabel="Total" dataDxfId="162" totalsRowDxfId="161"/>
    <tableColumn id="3" xr3:uid="{91A9DA49-738E-4EE5-8310-0F8585F161C2}" name="Full Name" dataDxfId="160" totalsRowDxfId="159"/>
    <tableColumn id="26" xr3:uid="{068B08B4-FD33-4296-B2DC-8A74302FFD8B}" name="State" dataDxfId="158" totalsRowDxfId="157"/>
    <tableColumn id="5" xr3:uid="{E3DA8AE0-6C70-4563-A237-1C0A2A0AAB9C}" name="Is State &quot;NY&quot; (&quot;blah true&quot; or &quot;blah false&quot;)" totalsRowFunction="count" dataDxfId="156" dataCellStyle="Input">
      <calculatedColumnFormula>IF(Tbl_B3_Placeholders_ANS[[#This Row],[State]]="NY","blah true","blah false")</calculatedColumnFormula>
    </tableColumn>
    <tableColumn id="1" xr3:uid="{B3FCB24E-3CEA-4F98-BD89-3BC76A83ECF2}" name="Answer Status Q01" dataDxfId="155" totalsRowDxfId="154">
      <calculatedColumnFormula>IFERROR(IF(Tbl_B3_Placeholders_ANS[[#This Row],[Is State "NY" ("blah true" or "blah false")]]="","",IF(AND(_xlfn.ISFORMULA(Tbl_B3_Placeholders_ANS[[#This Row],[Is State "NY" ("blah true" or "blah false")]]),EXACT(Tbl_B3_Placeholders_ANS[[#This Row],[Is State "NY" ("blah true" or "blah false")]],Tbl_B3_Placeholders_ANS[[#This Row],[Is State "NY" ("blah true" or "blah false") ANS]])),Rng_Lkp_AnswerStatus_Good,Rng_Lkp_AnswerStatus_Bad)),Rng_Lkp_AnswerStatus_Bad)</calculatedColumnFormula>
    </tableColumn>
    <tableColumn id="6" xr3:uid="{DF1C4A7F-FFEE-4ED8-A1B9-A7B7BA5ED420}" name="Is State &quot;NY&quot; (&quot;blah true&quot; or &quot;blah false&quot;) ANS" dataDxfId="153" dataCellStyle="Highlight Difference"/>
    <tableColumn id="7" xr3:uid="{680689BC-B48F-41DD-8A97-41E3B96BABDF}" name="Is State &quot;NY&quot; (If true, show Account ID: Full Name. If false, show Account ID only)" dataDxfId="152" dataCellStyle="Input">
      <calculatedColumnFormula>IF(Tbl_B3_Placeholders_ANS[[#This Row],[State]]="NY",Tbl_B3_Placeholders_ANS[[#This Row],[Account ID]] &amp; ": " &amp; Tbl_B3_Placeholders_ANS[[#This Row],[Full Name]],Tbl_B3_Placeholders_ANS[[#This Row],[Account ID]])</calculatedColumnFormula>
    </tableColumn>
    <tableColumn id="8" xr3:uid="{6880618B-CFC6-4EB6-B0C5-8B5FDD48B462}" name="Answer Status Q02" dataDxfId="151" totalsRowDxfId="150">
      <calculatedColumnFormula>IFERROR(IF(Tbl_B3_Placeholders_ANS[[#This Row],[Is State "NY" (If true, show Account ID: Full Name. If false, show Account ID only)]]="","",IF(AND(_xlfn.ISFORMULA(Tbl_B3_Placeholders_ANS[[#This Row],[Is State "NY" (If true, show Account ID: Full Name. If false, show Account ID only)]]),EXACT(Tbl_B3_Placeholders_ANS[[#This Row],[Is State "NY" (If true, show Account ID: Full Name. If false, show Account ID only)]],Tbl_B3_Placeholders_ANS[[#This Row],[Is State "NY" (If true, show Account ID: Full Name. If false, show Account ID only) ANS]])),Rng_Lkp_AnswerStatus_Good,Rng_Lkp_AnswerStatus_Bad)),Rng_Lkp_AnswerStatus_Bad)</calculatedColumnFormula>
    </tableColumn>
    <tableColumn id="9" xr3:uid="{D59B1D95-6435-4BBE-B66E-1650A6DB37E9}" name="Is State &quot;NY&quot; (If true, show Account ID: Full Name. If false, show Account ID only) ANS" dataDxfId="149" totalsRowDxfId="148" dataCellStyle="Highlight Difference"/>
  </tableColumns>
  <tableStyleInfo name="Excel Minimal 06 Light Blue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BF8E49C-53E5-4A7A-BB53-034F7148CF9A}" name="Tbl_B4_HelperColumns_01" displayName="Tbl_B4_HelperColumns_01" ref="B7:P27" headerRowDxfId="145" dataDxfId="143" headerRowBorderDxfId="144">
  <tableColumns count="15">
    <tableColumn id="2" xr3:uid="{368AD72D-A076-431B-85A4-B9D7C930B74B}" name="Account ID" totalsRowLabel="Total" dataDxfId="142" totalsRowDxfId="141"/>
    <tableColumn id="3" xr3:uid="{8FB66BD2-01B1-4EDB-8200-88D46B772AAF}" name="Full Name" dataDxfId="140" totalsRowDxfId="139"/>
    <tableColumn id="4" xr3:uid="{47BFC584-C425-4B8E-9EE5-1D1E1A462F5F}" name="Member Start Date" dataDxfId="138" totalsRowDxfId="137"/>
    <tableColumn id="5" xr3:uid="{A3E0B7E6-E974-4E7B-A4F1-70542427FE0E}" name="Start Year" totalsRowFunction="count" dataDxfId="136" dataCellStyle="Input"/>
    <tableColumn id="1" xr3:uid="{247395A4-81DA-4E79-B109-13224FED8E33}" name="Answer Status Q01" dataDxfId="135" totalsRowDxfId="134">
      <calculatedColumnFormula>IFERROR(IF(Tbl_B4_HelperColumns_01[[#This Row],[Start Year]]="","",IF(AND(_xlfn.ISFORMULA(Tbl_B4_HelperColumns_01[[#This Row],[Start Year]]),EXACT(Tbl_B4_HelperColumns_01[[#This Row],[Start Year]],Tbl_B4_HelperColumns_01[[#This Row],[Start Year ANS]])),Rng_Lkp_AnswerStatus_Good,Rng_Lkp_AnswerStatus_Bad)),Rng_Lkp_AnswerStatus_Bad)</calculatedColumnFormula>
    </tableColumn>
    <tableColumn id="6" xr3:uid="{7A59A46F-80A7-4B56-ACCA-AE1C9E67798C}" name="Start Year ANS" dataDxfId="133" dataCellStyle="Highlight Difference"/>
    <tableColumn id="7" xr3:uid="{F119F716-CC06-4283-A718-89E5E7D554D3}" name="Start Month" dataDxfId="132" totalsRowDxfId="131" dataCellStyle="Input"/>
    <tableColumn id="8" xr3:uid="{F23D50FE-0206-476E-B3BB-9E8A95142C13}" name="Answer Status Q02" dataDxfId="130" totalsRowDxfId="129">
      <calculatedColumnFormula>IFERROR(IF(Tbl_B4_HelperColumns_01[[#This Row],[Start Month]]="","",IF(AND(_xlfn.ISFORMULA(Tbl_B4_HelperColumns_01[[#This Row],[Start Month]]),EXACT(Tbl_B4_HelperColumns_01[[#This Row],[Start Month]],Tbl_B4_HelperColumns_01[[#This Row],[Start Month ANS]])),Rng_Lkp_AnswerStatus_Good,Rng_Lkp_AnswerStatus_Bad)),Rng_Lkp_AnswerStatus_Bad)</calculatedColumnFormula>
    </tableColumn>
    <tableColumn id="9" xr3:uid="{25EABC5B-4BA7-4B27-B288-3456BD423241}" name="Start Month ANS" dataDxfId="128" totalsRowDxfId="127" dataCellStyle="Highlight Difference"/>
    <tableColumn id="10" xr3:uid="{124EAFEB-4E1B-4A9A-AE6D-84B66B50AFC0}" name="Start Day" dataDxfId="126" totalsRowDxfId="125"/>
    <tableColumn id="11" xr3:uid="{9164FBA7-9633-4E8D-B87C-BD13207AB5CE}" name="Answer Status Q03" dataDxfId="124" totalsRowDxfId="123">
      <calculatedColumnFormula>IFERROR(IF(Tbl_B4_HelperColumns_01[[#This Row],[Start Day]]="","",IF(AND(_xlfn.ISFORMULA(Tbl_B4_HelperColumns_01[[#This Row],[Start Day]]),EXACT(Tbl_B4_HelperColumns_01[[#This Row],[Start Day]],Tbl_B4_HelperColumns_01[[#This Row],[Start Day ANS]])),Rng_Lkp_AnswerStatus_Good,Rng_Lkp_AnswerStatus_Bad)),Rng_Lkp_AnswerStatus_Bad)</calculatedColumnFormula>
    </tableColumn>
    <tableColumn id="12" xr3:uid="{99993122-F165-4223-BEB1-B0A357DADB95}" name="Start Day ANS" dataDxfId="122" totalsRowDxfId="121"/>
    <tableColumn id="13" xr3:uid="{CA4B8728-6B89-4B26-BC68-364109C30BE1}" name="3 Months After Start Date" dataDxfId="120" totalsRowDxfId="119"/>
    <tableColumn id="14" xr3:uid="{3B50AAC2-039B-48D2-BCFC-8106D15D163B}" name="Answer Status Q04" dataDxfId="118" totalsRowDxfId="117">
      <calculatedColumnFormula>IFERROR(IF(Tbl_B4_HelperColumns_01[[#This Row],[3 Months After Start Date]]="","",IF(AND(_xlfn.ISFORMULA(Tbl_B4_HelperColumns_01[[#This Row],[3 Months After Start Date]]),EXACT(Tbl_B4_HelperColumns_01[[#This Row],[3 Months After Start Date]],Tbl_B4_HelperColumns_01[[#This Row],[3 Months After Start Date ANS]])),Rng_Lkp_AnswerStatus_Good,Rng_Lkp_AnswerStatus_Bad)),Rng_Lkp_AnswerStatus_Bad)</calculatedColumnFormula>
    </tableColumn>
    <tableColumn id="15" xr3:uid="{4F9DCA51-0473-454A-A719-5706B17700BE}" name="3 Months After Start Date ANS" dataDxfId="116" totalsRowDxfId="115"/>
  </tableColumns>
  <tableStyleInfo name="Excel Minimal 03 Red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1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B8D76-5D52-40A4-B578-E6F2E38F7537}">
  <sheetPr>
    <tabColor rgb="FFD6F6F5"/>
  </sheetPr>
  <dimension ref="B1:B18"/>
  <sheetViews>
    <sheetView showGridLines="0" tabSelected="1" zoomScaleNormal="100" workbookViewId="0"/>
  </sheetViews>
  <sheetFormatPr defaultColWidth="9.140625" defaultRowHeight="15" x14ac:dyDescent="0.25"/>
  <cols>
    <col min="1" max="1" width="2.5703125" style="1" customWidth="1"/>
    <col min="2" max="2" width="9.140625" style="1" customWidth="1"/>
    <col min="3" max="3" width="9.140625" style="1"/>
    <col min="4" max="4" width="9.140625" style="1" customWidth="1"/>
    <col min="5" max="16384" width="9.140625" style="1"/>
  </cols>
  <sheetData>
    <row r="1" spans="2:2" ht="6.95" customHeight="1" x14ac:dyDescent="0.25"/>
    <row r="5" spans="2:2" ht="6.95" customHeight="1" x14ac:dyDescent="0.25"/>
    <row r="6" spans="2:2" ht="46.5" x14ac:dyDescent="0.7">
      <c r="B6" s="2" t="s">
        <v>0</v>
      </c>
    </row>
    <row r="7" spans="2:2" ht="26.25" x14ac:dyDescent="0.4">
      <c r="B7" s="3" t="s">
        <v>1</v>
      </c>
    </row>
    <row r="8" spans="2:2" ht="6.95" customHeight="1" x14ac:dyDescent="0.25"/>
    <row r="9" spans="2:2" ht="21" x14ac:dyDescent="0.35">
      <c r="B9" s="6" t="s">
        <v>7</v>
      </c>
    </row>
    <row r="10" spans="2:2" ht="6.95" customHeight="1" x14ac:dyDescent="0.25"/>
    <row r="11" spans="2:2" ht="18.75" x14ac:dyDescent="0.3">
      <c r="B11" s="13" t="s">
        <v>8</v>
      </c>
    </row>
    <row r="12" spans="2:2" ht="17.25" x14ac:dyDescent="0.3">
      <c r="B12" s="5" t="s">
        <v>9</v>
      </c>
    </row>
    <row r="13" spans="2:2" ht="17.25" x14ac:dyDescent="0.3">
      <c r="B13" s="5" t="s">
        <v>2</v>
      </c>
    </row>
    <row r="14" spans="2:2" ht="17.25" x14ac:dyDescent="0.3">
      <c r="B14" s="5" t="s">
        <v>3</v>
      </c>
    </row>
    <row r="15" spans="2:2" ht="17.25" x14ac:dyDescent="0.3">
      <c r="B15" s="5" t="s">
        <v>4</v>
      </c>
    </row>
    <row r="16" spans="2:2" ht="17.25" x14ac:dyDescent="0.3">
      <c r="B16" s="5" t="s">
        <v>5</v>
      </c>
    </row>
    <row r="17" spans="2:2" ht="6.95" customHeight="1" x14ac:dyDescent="0.25"/>
    <row r="18" spans="2:2" ht="17.25" x14ac:dyDescent="0.3">
      <c r="B18" s="7" t="s">
        <v>6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E30A6-33ED-4049-8448-C30F849D5BB2}">
  <sheetPr>
    <tabColor theme="5"/>
  </sheetPr>
  <dimension ref="A1:Q27"/>
  <sheetViews>
    <sheetView showGridLines="0" zoomScaleNormal="100" workbookViewId="0">
      <pane xSplit="4" ySplit="7" topLeftCell="E8" activePane="bottomRight" state="frozen"/>
      <selection pane="topRight" activeCell="E1" sqref="E1"/>
      <selection pane="bottomLeft" activeCell="A7" sqref="A7"/>
      <selection pane="bottomRight" activeCell="E8" sqref="E8"/>
    </sheetView>
  </sheetViews>
  <sheetFormatPr defaultColWidth="9.140625" defaultRowHeight="15" outlineLevelRow="1" outlineLevelCol="1" x14ac:dyDescent="0.25"/>
  <cols>
    <col min="1" max="1" width="2.5703125" style="10" customWidth="1"/>
    <col min="2" max="2" width="8.140625" style="10" bestFit="1" customWidth="1"/>
    <col min="3" max="3" width="13.85546875" style="10" bestFit="1" customWidth="1"/>
    <col min="4" max="4" width="9.28515625" style="10" customWidth="1"/>
    <col min="5" max="5" width="5.7109375" style="10" customWidth="1"/>
    <col min="6" max="6" width="8.140625" style="10" bestFit="1" customWidth="1"/>
    <col min="7" max="7" width="9.42578125" style="10" hidden="1" customWidth="1" outlineLevel="1"/>
    <col min="8" max="8" width="7.85546875" style="10" bestFit="1" customWidth="1" collapsed="1"/>
    <col min="9" max="9" width="8.140625" style="10" bestFit="1" customWidth="1"/>
    <col min="10" max="10" width="9.42578125" style="10" hidden="1" customWidth="1" outlineLevel="1"/>
    <col min="11" max="11" width="5.7109375" style="10" customWidth="1" collapsed="1"/>
    <col min="12" max="12" width="8.140625" style="10" bestFit="1" customWidth="1"/>
    <col min="13" max="13" width="9.42578125" style="10" hidden="1" customWidth="1" outlineLevel="1"/>
    <col min="14" max="14" width="10.140625" style="10" bestFit="1" customWidth="1" collapsed="1"/>
    <col min="15" max="15" width="8.140625" style="10" bestFit="1" customWidth="1"/>
    <col min="16" max="16" width="10.7109375" style="10" hidden="1" customWidth="1" outlineLevel="1"/>
    <col min="17" max="17" width="9.140625" style="10" collapsed="1"/>
    <col min="18" max="16384" width="9.140625" style="10"/>
  </cols>
  <sheetData>
    <row r="1" spans="1:16" s="8" customFormat="1" ht="21" x14ac:dyDescent="0.35">
      <c r="A1" s="90" t="s">
        <v>130</v>
      </c>
      <c r="B1" s="4"/>
    </row>
    <row r="2" spans="1:16" s="8" customFormat="1" ht="18.75" x14ac:dyDescent="0.3">
      <c r="A2" s="91" t="s">
        <v>11</v>
      </c>
      <c r="B2" s="9"/>
    </row>
    <row r="3" spans="1:16" ht="6.95" customHeight="1" x14ac:dyDescent="0.25"/>
    <row r="4" spans="1:16" x14ac:dyDescent="0.25">
      <c r="D4" s="16" t="s">
        <v>137</v>
      </c>
      <c r="E4" s="30">
        <v>1</v>
      </c>
      <c r="F4" s="17"/>
      <c r="G4" s="17"/>
      <c r="H4" s="30">
        <v>2</v>
      </c>
      <c r="I4" s="17"/>
      <c r="J4" s="17"/>
      <c r="K4" s="30">
        <v>3</v>
      </c>
      <c r="L4" s="17"/>
      <c r="M4" s="17"/>
      <c r="N4" s="30">
        <v>4</v>
      </c>
      <c r="O4" s="17"/>
      <c r="P4" s="17"/>
    </row>
    <row r="5" spans="1:16" hidden="1" outlineLevel="1" x14ac:dyDescent="0.25">
      <c r="B5" s="38" t="str">
        <f>IFERROR(IF(SUMIFS(E5:P5,E4:P4,"&gt;=0")=0,"",SUMIFS(E5:P5,E4:P4,"&gt;=0")/SUMIFS(E5:P5,E6:P6,"ANSWER")),"")</f>
        <v/>
      </c>
      <c r="C5" s="35" t="s">
        <v>43</v>
      </c>
      <c r="D5" s="16"/>
      <c r="E5" s="36">
        <f>IFERROR(COUNTA(Tbl_B4_HelperColumns_01[Start Year]),"")</f>
        <v>0</v>
      </c>
      <c r="F5" s="37">
        <f>IFERROR(COUNTIF(Tbl_B4_HelperColumns_01[Answer Status Q01],Rng_Lkp_AnswerStatus_Good),"")</f>
        <v>0</v>
      </c>
      <c r="G5" s="37">
        <f>IFERROR(COUNTA(Tbl_B4_HelperColumns_01[Start Year ANS]),"")</f>
        <v>20</v>
      </c>
      <c r="H5" s="36">
        <f>IFERROR(COUNTA(Tbl_B4_HelperColumns_01[Start Month]),"")</f>
        <v>0</v>
      </c>
      <c r="I5" s="37">
        <f>IFERROR(COUNTIF(Tbl_B4_HelperColumns_01[Answer Status Q02],Rng_Lkp_AnswerStatus_Good),"")</f>
        <v>0</v>
      </c>
      <c r="J5" s="37">
        <f>IFERROR(COUNTA(Tbl_B4_HelperColumns_01[Start Month ANS]),"")</f>
        <v>20</v>
      </c>
      <c r="K5" s="36">
        <f>IFERROR(COUNTA(Tbl_B4_HelperColumns_01[Start Day]),"")</f>
        <v>0</v>
      </c>
      <c r="L5" s="37">
        <f>IFERROR(COUNTIF(Tbl_B4_HelperColumns_01[Answer Status Q03],Rng_Lkp_AnswerStatus_Good),"")</f>
        <v>0</v>
      </c>
      <c r="M5" s="37">
        <f>IFERROR(COUNTA(Tbl_B4_HelperColumns_01[Start Day ANS]),"")</f>
        <v>20</v>
      </c>
      <c r="N5" s="36">
        <f>IFERROR(COUNTA(Tbl_B4_HelperColumns_01[3 Months After Start Date]),"")</f>
        <v>0</v>
      </c>
      <c r="O5" s="37">
        <f>IFERROR(COUNTIF(Tbl_B4_HelperColumns_01[Answer Status Q04],Rng_Lkp_AnswerStatus_Good),"")</f>
        <v>0</v>
      </c>
      <c r="P5" s="37">
        <f>IFERROR(COUNTA(Tbl_B4_HelperColumns_01[3 Months After Start Date ANS]),"")</f>
        <v>20</v>
      </c>
    </row>
    <row r="6" spans="1:16" collapsed="1" x14ac:dyDescent="0.25">
      <c r="B6" s="38" t="str">
        <f>IFERROR(IF(SUMIFS(E5:P5,E4:P4,"&gt;=0")=0,"",SUMIFS(E5:P5,E6:P6,"&gt;=0", E6:P6,"&lt;=1")/SUMIFS(E5:P5,E4:P4,"&gt;0")),"")</f>
        <v/>
      </c>
      <c r="C6" s="35" t="s">
        <v>44</v>
      </c>
      <c r="E6" s="30" t="s">
        <v>24</v>
      </c>
      <c r="F6" s="28" t="str">
        <f>IFERROR(F5/E5,"")</f>
        <v/>
      </c>
      <c r="G6" s="31" t="s">
        <v>26</v>
      </c>
      <c r="H6" s="30" t="s">
        <v>31</v>
      </c>
      <c r="I6" s="28" t="str">
        <f>IFERROR(I5/H5,"")</f>
        <v/>
      </c>
      <c r="J6" s="31" t="s">
        <v>26</v>
      </c>
      <c r="K6" s="30" t="s">
        <v>36</v>
      </c>
      <c r="L6" s="28" t="str">
        <f>IFERROR(L5/K5,"")</f>
        <v/>
      </c>
      <c r="M6" s="31" t="s">
        <v>26</v>
      </c>
      <c r="N6" s="30" t="s">
        <v>37</v>
      </c>
      <c r="O6" s="28" t="str">
        <f>IFERROR(O5/N5,"")</f>
        <v/>
      </c>
      <c r="P6" s="31" t="s">
        <v>26</v>
      </c>
    </row>
    <row r="7" spans="1:16" ht="45" x14ac:dyDescent="0.25">
      <c r="B7" s="20" t="s">
        <v>10</v>
      </c>
      <c r="C7" s="21" t="s">
        <v>12</v>
      </c>
      <c r="D7" s="20" t="s">
        <v>138</v>
      </c>
      <c r="E7" s="29" t="s">
        <v>23</v>
      </c>
      <c r="F7" s="26" t="s">
        <v>33</v>
      </c>
      <c r="G7" s="32" t="s">
        <v>25</v>
      </c>
      <c r="H7" s="29" t="s">
        <v>30</v>
      </c>
      <c r="I7" s="26" t="s">
        <v>34</v>
      </c>
      <c r="J7" s="32" t="s">
        <v>32</v>
      </c>
      <c r="K7" s="29" t="s">
        <v>38</v>
      </c>
      <c r="L7" s="26" t="s">
        <v>35</v>
      </c>
      <c r="M7" s="32" t="s">
        <v>40</v>
      </c>
      <c r="N7" s="29" t="s">
        <v>39</v>
      </c>
      <c r="O7" s="26" t="s">
        <v>41</v>
      </c>
      <c r="P7" s="32" t="s">
        <v>42</v>
      </c>
    </row>
    <row r="8" spans="1:16" x14ac:dyDescent="0.25">
      <c r="B8" s="11">
        <v>4405</v>
      </c>
      <c r="C8" s="12" t="s">
        <v>143</v>
      </c>
      <c r="D8" s="12">
        <v>43466</v>
      </c>
      <c r="E8" s="39"/>
      <c r="F8" s="27" t="str">
        <f>IFERROR(IF(Tbl_B4_HelperColumns_01[[#This Row],[Start Year]]="","",IF(AND(_xlfn.ISFORMULA(Tbl_B4_HelperColumns_01[[#This Row],[Start Year]]),EXACT(Tbl_B4_HelperColumns_01[[#This Row],[Start Year]],Tbl_B4_HelperColumns_01[[#This Row],[Start Year ANS]])),Rng_Lkp_AnswerStatus_Good,Rng_Lkp_AnswerStatus_Bad)),Rng_Lkp_AnswerStatus_Bad)</f>
        <v/>
      </c>
      <c r="G8" s="41">
        <v>2019</v>
      </c>
      <c r="H8" s="39"/>
      <c r="I8" s="27" t="str">
        <f>IFERROR(IF(Tbl_B4_HelperColumns_01[[#This Row],[Start Month]]="","",IF(AND(_xlfn.ISFORMULA(Tbl_B4_HelperColumns_01[[#This Row],[Start Month]]),EXACT(Tbl_B4_HelperColumns_01[[#This Row],[Start Month]],Tbl_B4_HelperColumns_01[[#This Row],[Start Month ANS]])),Rng_Lkp_AnswerStatus_Good,Rng_Lkp_AnswerStatus_Bad)),Rng_Lkp_AnswerStatus_Bad)</f>
        <v/>
      </c>
      <c r="J8" s="41">
        <v>1</v>
      </c>
      <c r="K8" s="40"/>
      <c r="L8" s="27" t="str">
        <f>IFERROR(IF(Tbl_B4_HelperColumns_01[[#This Row],[Start Day]]="","",IF(AND(_xlfn.ISFORMULA(Tbl_B4_HelperColumns_01[[#This Row],[Start Day]]),EXACT(Tbl_B4_HelperColumns_01[[#This Row],[Start Day]],Tbl_B4_HelperColumns_01[[#This Row],[Start Day ANS]])),Rng_Lkp_AnswerStatus_Good,Rng_Lkp_AnswerStatus_Bad)),Rng_Lkp_AnswerStatus_Bad)</f>
        <v/>
      </c>
      <c r="M8" s="41">
        <v>1</v>
      </c>
      <c r="N8" s="33"/>
      <c r="O8" s="27" t="str">
        <f>IFERROR(IF(Tbl_B4_HelperColumns_01[[#This Row],[3 Months After Start Date]]="","",IF(AND(_xlfn.ISFORMULA(Tbl_B4_HelperColumns_01[[#This Row],[3 Months After Start Date]]),EXACT(Tbl_B4_HelperColumns_01[[#This Row],[3 Months After Start Date]],Tbl_B4_HelperColumns_01[[#This Row],[3 Months After Start Date ANS]])),Rng_Lkp_AnswerStatus_Good,Rng_Lkp_AnswerStatus_Bad)),Rng_Lkp_AnswerStatus_Bad)</f>
        <v/>
      </c>
      <c r="P8" s="34">
        <v>43556</v>
      </c>
    </row>
    <row r="9" spans="1:16" x14ac:dyDescent="0.25">
      <c r="B9" s="11">
        <v>1030</v>
      </c>
      <c r="C9" s="12" t="s">
        <v>13</v>
      </c>
      <c r="D9" s="12">
        <v>41239</v>
      </c>
      <c r="E9" s="40"/>
      <c r="F9" s="27" t="str">
        <f>IFERROR(IF(Tbl_B4_HelperColumns_01[[#This Row],[Start Year]]="","",IF(AND(_xlfn.ISFORMULA(Tbl_B4_HelperColumns_01[[#This Row],[Start Year]]),EXACT(Tbl_B4_HelperColumns_01[[#This Row],[Start Year]],Tbl_B4_HelperColumns_01[[#This Row],[Start Year ANS]])),Rng_Lkp_AnswerStatus_Good,Rng_Lkp_AnswerStatus_Bad)),Rng_Lkp_AnswerStatus_Bad)</f>
        <v/>
      </c>
      <c r="G9" s="41">
        <v>2012</v>
      </c>
      <c r="H9" s="40"/>
      <c r="I9" s="27" t="str">
        <f>IFERROR(IF(Tbl_B4_HelperColumns_01[[#This Row],[Start Month]]="","",IF(AND(_xlfn.ISFORMULA(Tbl_B4_HelperColumns_01[[#This Row],[Start Month]]),EXACT(Tbl_B4_HelperColumns_01[[#This Row],[Start Month]],Tbl_B4_HelperColumns_01[[#This Row],[Start Month ANS]])),Rng_Lkp_AnswerStatus_Good,Rng_Lkp_AnswerStatus_Bad)),Rng_Lkp_AnswerStatus_Bad)</f>
        <v/>
      </c>
      <c r="J9" s="41">
        <v>11</v>
      </c>
      <c r="K9" s="40"/>
      <c r="L9" s="27" t="str">
        <f>IFERROR(IF(Tbl_B4_HelperColumns_01[[#This Row],[Start Day]]="","",IF(AND(_xlfn.ISFORMULA(Tbl_B4_HelperColumns_01[[#This Row],[Start Day]]),EXACT(Tbl_B4_HelperColumns_01[[#This Row],[Start Day]],Tbl_B4_HelperColumns_01[[#This Row],[Start Day ANS]])),Rng_Lkp_AnswerStatus_Good,Rng_Lkp_AnswerStatus_Bad)),Rng_Lkp_AnswerStatus_Bad)</f>
        <v/>
      </c>
      <c r="M9" s="41">
        <v>26</v>
      </c>
      <c r="N9" s="33"/>
      <c r="O9" s="27" t="str">
        <f>IFERROR(IF(Tbl_B4_HelperColumns_01[[#This Row],[3 Months After Start Date]]="","",IF(AND(_xlfn.ISFORMULA(Tbl_B4_HelperColumns_01[[#This Row],[3 Months After Start Date]]),EXACT(Tbl_B4_HelperColumns_01[[#This Row],[3 Months After Start Date]],Tbl_B4_HelperColumns_01[[#This Row],[3 Months After Start Date ANS]])),Rng_Lkp_AnswerStatus_Good,Rng_Lkp_AnswerStatus_Bad)),Rng_Lkp_AnswerStatus_Bad)</f>
        <v/>
      </c>
      <c r="P9" s="34">
        <v>41331</v>
      </c>
    </row>
    <row r="10" spans="1:16" x14ac:dyDescent="0.25">
      <c r="B10" s="11">
        <v>1603</v>
      </c>
      <c r="C10" s="12" t="s">
        <v>142</v>
      </c>
      <c r="D10" s="12">
        <v>41269</v>
      </c>
      <c r="E10" s="40"/>
      <c r="F10" s="27" t="str">
        <f>IFERROR(IF(Tbl_B4_HelperColumns_01[[#This Row],[Start Year]]="","",IF(AND(_xlfn.ISFORMULA(Tbl_B4_HelperColumns_01[[#This Row],[Start Year]]),EXACT(Tbl_B4_HelperColumns_01[[#This Row],[Start Year]],Tbl_B4_HelperColumns_01[[#This Row],[Start Year ANS]])),Rng_Lkp_AnswerStatus_Good,Rng_Lkp_AnswerStatus_Bad)),Rng_Lkp_AnswerStatus_Bad)</f>
        <v/>
      </c>
      <c r="G10" s="41">
        <v>2012</v>
      </c>
      <c r="H10" s="40"/>
      <c r="I10" s="27" t="str">
        <f>IFERROR(IF(Tbl_B4_HelperColumns_01[[#This Row],[Start Month]]="","",IF(AND(_xlfn.ISFORMULA(Tbl_B4_HelperColumns_01[[#This Row],[Start Month]]),EXACT(Tbl_B4_HelperColumns_01[[#This Row],[Start Month]],Tbl_B4_HelperColumns_01[[#This Row],[Start Month ANS]])),Rng_Lkp_AnswerStatus_Good,Rng_Lkp_AnswerStatus_Bad)),Rng_Lkp_AnswerStatus_Bad)</f>
        <v/>
      </c>
      <c r="J10" s="41">
        <v>12</v>
      </c>
      <c r="K10" s="40"/>
      <c r="L10" s="27" t="str">
        <f>IFERROR(IF(Tbl_B4_HelperColumns_01[[#This Row],[Start Day]]="","",IF(AND(_xlfn.ISFORMULA(Tbl_B4_HelperColumns_01[[#This Row],[Start Day]]),EXACT(Tbl_B4_HelperColumns_01[[#This Row],[Start Day]],Tbl_B4_HelperColumns_01[[#This Row],[Start Day ANS]])),Rng_Lkp_AnswerStatus_Good,Rng_Lkp_AnswerStatus_Bad)),Rng_Lkp_AnswerStatus_Bad)</f>
        <v/>
      </c>
      <c r="M10" s="41">
        <v>26</v>
      </c>
      <c r="N10" s="33"/>
      <c r="O10" s="27" t="str">
        <f>IFERROR(IF(Tbl_B4_HelperColumns_01[[#This Row],[3 Months After Start Date]]="","",IF(AND(_xlfn.ISFORMULA(Tbl_B4_HelperColumns_01[[#This Row],[3 Months After Start Date]]),EXACT(Tbl_B4_HelperColumns_01[[#This Row],[3 Months After Start Date]],Tbl_B4_HelperColumns_01[[#This Row],[3 Months After Start Date ANS]])),Rng_Lkp_AnswerStatus_Good,Rng_Lkp_AnswerStatus_Bad)),Rng_Lkp_AnswerStatus_Bad)</f>
        <v/>
      </c>
      <c r="P10" s="34">
        <v>41359</v>
      </c>
    </row>
    <row r="11" spans="1:16" x14ac:dyDescent="0.25">
      <c r="B11" s="11">
        <v>4298</v>
      </c>
      <c r="C11" s="12" t="s">
        <v>14</v>
      </c>
      <c r="D11" s="12">
        <v>42895</v>
      </c>
      <c r="E11" s="40"/>
      <c r="F11" s="27" t="str">
        <f>IFERROR(IF(Tbl_B4_HelperColumns_01[[#This Row],[Start Year]]="","",IF(AND(_xlfn.ISFORMULA(Tbl_B4_HelperColumns_01[[#This Row],[Start Year]]),EXACT(Tbl_B4_HelperColumns_01[[#This Row],[Start Year]],Tbl_B4_HelperColumns_01[[#This Row],[Start Year ANS]])),Rng_Lkp_AnswerStatus_Good,Rng_Lkp_AnswerStatus_Bad)),Rng_Lkp_AnswerStatus_Bad)</f>
        <v/>
      </c>
      <c r="G11" s="41">
        <v>2017</v>
      </c>
      <c r="H11" s="40"/>
      <c r="I11" s="27" t="str">
        <f>IFERROR(IF(Tbl_B4_HelperColumns_01[[#This Row],[Start Month]]="","",IF(AND(_xlfn.ISFORMULA(Tbl_B4_HelperColumns_01[[#This Row],[Start Month]]),EXACT(Tbl_B4_HelperColumns_01[[#This Row],[Start Month]],Tbl_B4_HelperColumns_01[[#This Row],[Start Month ANS]])),Rng_Lkp_AnswerStatus_Good,Rng_Lkp_AnswerStatus_Bad)),Rng_Lkp_AnswerStatus_Bad)</f>
        <v/>
      </c>
      <c r="J11" s="41">
        <v>6</v>
      </c>
      <c r="K11" s="40"/>
      <c r="L11" s="27" t="str">
        <f>IFERROR(IF(Tbl_B4_HelperColumns_01[[#This Row],[Start Day]]="","",IF(AND(_xlfn.ISFORMULA(Tbl_B4_HelperColumns_01[[#This Row],[Start Day]]),EXACT(Tbl_B4_HelperColumns_01[[#This Row],[Start Day]],Tbl_B4_HelperColumns_01[[#This Row],[Start Day ANS]])),Rng_Lkp_AnswerStatus_Good,Rng_Lkp_AnswerStatus_Bad)),Rng_Lkp_AnswerStatus_Bad)</f>
        <v/>
      </c>
      <c r="M11" s="41">
        <v>9</v>
      </c>
      <c r="N11" s="33"/>
      <c r="O11" s="27" t="str">
        <f>IFERROR(IF(Tbl_B4_HelperColumns_01[[#This Row],[3 Months After Start Date]]="","",IF(AND(_xlfn.ISFORMULA(Tbl_B4_HelperColumns_01[[#This Row],[3 Months After Start Date]]),EXACT(Tbl_B4_HelperColumns_01[[#This Row],[3 Months After Start Date]],Tbl_B4_HelperColumns_01[[#This Row],[3 Months After Start Date ANS]])),Rng_Lkp_AnswerStatus_Good,Rng_Lkp_AnswerStatus_Bad)),Rng_Lkp_AnswerStatus_Bad)</f>
        <v/>
      </c>
      <c r="P11" s="34">
        <v>42987</v>
      </c>
    </row>
    <row r="12" spans="1:16" x14ac:dyDescent="0.25">
      <c r="B12" s="11">
        <v>2352</v>
      </c>
      <c r="C12" s="12" t="s">
        <v>139</v>
      </c>
      <c r="D12" s="12">
        <v>43466</v>
      </c>
      <c r="E12" s="40"/>
      <c r="F12" s="27" t="str">
        <f>IFERROR(IF(Tbl_B4_HelperColumns_01[[#This Row],[Start Year]]="","",IF(AND(_xlfn.ISFORMULA(Tbl_B4_HelperColumns_01[[#This Row],[Start Year]]),EXACT(Tbl_B4_HelperColumns_01[[#This Row],[Start Year]],Tbl_B4_HelperColumns_01[[#This Row],[Start Year ANS]])),Rng_Lkp_AnswerStatus_Good,Rng_Lkp_AnswerStatus_Bad)),Rng_Lkp_AnswerStatus_Bad)</f>
        <v/>
      </c>
      <c r="G12" s="41">
        <v>2019</v>
      </c>
      <c r="H12" s="40"/>
      <c r="I12" s="27" t="str">
        <f>IFERROR(IF(Tbl_B4_HelperColumns_01[[#This Row],[Start Month]]="","",IF(AND(_xlfn.ISFORMULA(Tbl_B4_HelperColumns_01[[#This Row],[Start Month]]),EXACT(Tbl_B4_HelperColumns_01[[#This Row],[Start Month]],Tbl_B4_HelperColumns_01[[#This Row],[Start Month ANS]])),Rng_Lkp_AnswerStatus_Good,Rng_Lkp_AnswerStatus_Bad)),Rng_Lkp_AnswerStatus_Bad)</f>
        <v/>
      </c>
      <c r="J12" s="41">
        <v>1</v>
      </c>
      <c r="K12" s="40"/>
      <c r="L12" s="27" t="str">
        <f>IFERROR(IF(Tbl_B4_HelperColumns_01[[#This Row],[Start Day]]="","",IF(AND(_xlfn.ISFORMULA(Tbl_B4_HelperColumns_01[[#This Row],[Start Day]]),EXACT(Tbl_B4_HelperColumns_01[[#This Row],[Start Day]],Tbl_B4_HelperColumns_01[[#This Row],[Start Day ANS]])),Rng_Lkp_AnswerStatus_Good,Rng_Lkp_AnswerStatus_Bad)),Rng_Lkp_AnswerStatus_Bad)</f>
        <v/>
      </c>
      <c r="M12" s="41">
        <v>1</v>
      </c>
      <c r="N12" s="33"/>
      <c r="O12" s="27" t="str">
        <f>IFERROR(IF(Tbl_B4_HelperColumns_01[[#This Row],[3 Months After Start Date]]="","",IF(AND(_xlfn.ISFORMULA(Tbl_B4_HelperColumns_01[[#This Row],[3 Months After Start Date]]),EXACT(Tbl_B4_HelperColumns_01[[#This Row],[3 Months After Start Date]],Tbl_B4_HelperColumns_01[[#This Row],[3 Months After Start Date ANS]])),Rng_Lkp_AnswerStatus_Good,Rng_Lkp_AnswerStatus_Bad)),Rng_Lkp_AnswerStatus_Bad)</f>
        <v/>
      </c>
      <c r="P12" s="34">
        <v>43556</v>
      </c>
    </row>
    <row r="13" spans="1:16" x14ac:dyDescent="0.25">
      <c r="B13" s="11">
        <v>1049</v>
      </c>
      <c r="C13" s="12" t="s">
        <v>140</v>
      </c>
      <c r="D13" s="12">
        <v>40855</v>
      </c>
      <c r="E13" s="40"/>
      <c r="F13" s="27" t="str">
        <f>IFERROR(IF(Tbl_B4_HelperColumns_01[[#This Row],[Start Year]]="","",IF(AND(_xlfn.ISFORMULA(Tbl_B4_HelperColumns_01[[#This Row],[Start Year]]),EXACT(Tbl_B4_HelperColumns_01[[#This Row],[Start Year]],Tbl_B4_HelperColumns_01[[#This Row],[Start Year ANS]])),Rng_Lkp_AnswerStatus_Good,Rng_Lkp_AnswerStatus_Bad)),Rng_Lkp_AnswerStatus_Bad)</f>
        <v/>
      </c>
      <c r="G13" s="41">
        <v>2011</v>
      </c>
      <c r="H13" s="40"/>
      <c r="I13" s="27" t="str">
        <f>IFERROR(IF(Tbl_B4_HelperColumns_01[[#This Row],[Start Month]]="","",IF(AND(_xlfn.ISFORMULA(Tbl_B4_HelperColumns_01[[#This Row],[Start Month]]),EXACT(Tbl_B4_HelperColumns_01[[#This Row],[Start Month]],Tbl_B4_HelperColumns_01[[#This Row],[Start Month ANS]])),Rng_Lkp_AnswerStatus_Good,Rng_Lkp_AnswerStatus_Bad)),Rng_Lkp_AnswerStatus_Bad)</f>
        <v/>
      </c>
      <c r="J13" s="41">
        <v>11</v>
      </c>
      <c r="K13" s="40"/>
      <c r="L13" s="27" t="str">
        <f>IFERROR(IF(Tbl_B4_HelperColumns_01[[#This Row],[Start Day]]="","",IF(AND(_xlfn.ISFORMULA(Tbl_B4_HelperColumns_01[[#This Row],[Start Day]]),EXACT(Tbl_B4_HelperColumns_01[[#This Row],[Start Day]],Tbl_B4_HelperColumns_01[[#This Row],[Start Day ANS]])),Rng_Lkp_AnswerStatus_Good,Rng_Lkp_AnswerStatus_Bad)),Rng_Lkp_AnswerStatus_Bad)</f>
        <v/>
      </c>
      <c r="M13" s="41">
        <v>8</v>
      </c>
      <c r="N13" s="33"/>
      <c r="O13" s="27" t="str">
        <f>IFERROR(IF(Tbl_B4_HelperColumns_01[[#This Row],[3 Months After Start Date]]="","",IF(AND(_xlfn.ISFORMULA(Tbl_B4_HelperColumns_01[[#This Row],[3 Months After Start Date]]),EXACT(Tbl_B4_HelperColumns_01[[#This Row],[3 Months After Start Date]],Tbl_B4_HelperColumns_01[[#This Row],[3 Months After Start Date ANS]])),Rng_Lkp_AnswerStatus_Good,Rng_Lkp_AnswerStatus_Bad)),Rng_Lkp_AnswerStatus_Bad)</f>
        <v/>
      </c>
      <c r="P13" s="34">
        <v>40947</v>
      </c>
    </row>
    <row r="14" spans="1:16" x14ac:dyDescent="0.25">
      <c r="B14" s="11">
        <v>2278</v>
      </c>
      <c r="C14" s="12" t="s">
        <v>141</v>
      </c>
      <c r="D14" s="12">
        <v>42166</v>
      </c>
      <c r="E14" s="40"/>
      <c r="F14" s="27" t="str">
        <f>IFERROR(IF(Tbl_B4_HelperColumns_01[[#This Row],[Start Year]]="","",IF(AND(_xlfn.ISFORMULA(Tbl_B4_HelperColumns_01[[#This Row],[Start Year]]),EXACT(Tbl_B4_HelperColumns_01[[#This Row],[Start Year]],Tbl_B4_HelperColumns_01[[#This Row],[Start Year ANS]])),Rng_Lkp_AnswerStatus_Good,Rng_Lkp_AnswerStatus_Bad)),Rng_Lkp_AnswerStatus_Bad)</f>
        <v/>
      </c>
      <c r="G14" s="41">
        <v>2015</v>
      </c>
      <c r="H14" s="40"/>
      <c r="I14" s="27" t="str">
        <f>IFERROR(IF(Tbl_B4_HelperColumns_01[[#This Row],[Start Month]]="","",IF(AND(_xlfn.ISFORMULA(Tbl_B4_HelperColumns_01[[#This Row],[Start Month]]),EXACT(Tbl_B4_HelperColumns_01[[#This Row],[Start Month]],Tbl_B4_HelperColumns_01[[#This Row],[Start Month ANS]])),Rng_Lkp_AnswerStatus_Good,Rng_Lkp_AnswerStatus_Bad)),Rng_Lkp_AnswerStatus_Bad)</f>
        <v/>
      </c>
      <c r="J14" s="41">
        <v>6</v>
      </c>
      <c r="K14" s="40"/>
      <c r="L14" s="27" t="str">
        <f>IFERROR(IF(Tbl_B4_HelperColumns_01[[#This Row],[Start Day]]="","",IF(AND(_xlfn.ISFORMULA(Tbl_B4_HelperColumns_01[[#This Row],[Start Day]]),EXACT(Tbl_B4_HelperColumns_01[[#This Row],[Start Day]],Tbl_B4_HelperColumns_01[[#This Row],[Start Day ANS]])),Rng_Lkp_AnswerStatus_Good,Rng_Lkp_AnswerStatus_Bad)),Rng_Lkp_AnswerStatus_Bad)</f>
        <v/>
      </c>
      <c r="M14" s="41">
        <v>11</v>
      </c>
      <c r="N14" s="33"/>
      <c r="O14" s="27" t="str">
        <f>IFERROR(IF(Tbl_B4_HelperColumns_01[[#This Row],[3 Months After Start Date]]="","",IF(AND(_xlfn.ISFORMULA(Tbl_B4_HelperColumns_01[[#This Row],[3 Months After Start Date]]),EXACT(Tbl_B4_HelperColumns_01[[#This Row],[3 Months After Start Date]],Tbl_B4_HelperColumns_01[[#This Row],[3 Months After Start Date ANS]])),Rng_Lkp_AnswerStatus_Good,Rng_Lkp_AnswerStatus_Bad)),Rng_Lkp_AnswerStatus_Bad)</f>
        <v/>
      </c>
      <c r="P14" s="34">
        <v>42258</v>
      </c>
    </row>
    <row r="15" spans="1:16" x14ac:dyDescent="0.25">
      <c r="B15" s="11">
        <v>4071</v>
      </c>
      <c r="C15" s="12" t="s">
        <v>15</v>
      </c>
      <c r="D15" s="12">
        <v>43466</v>
      </c>
      <c r="E15" s="40"/>
      <c r="F15" s="27" t="str">
        <f>IFERROR(IF(Tbl_B4_HelperColumns_01[[#This Row],[Start Year]]="","",IF(AND(_xlfn.ISFORMULA(Tbl_B4_HelperColumns_01[[#This Row],[Start Year]]),EXACT(Tbl_B4_HelperColumns_01[[#This Row],[Start Year]],Tbl_B4_HelperColumns_01[[#This Row],[Start Year ANS]])),Rng_Lkp_AnswerStatus_Good,Rng_Lkp_AnswerStatus_Bad)),Rng_Lkp_AnswerStatus_Bad)</f>
        <v/>
      </c>
      <c r="G15" s="41">
        <v>2019</v>
      </c>
      <c r="H15" s="40"/>
      <c r="I15" s="27" t="str">
        <f>IFERROR(IF(Tbl_B4_HelperColumns_01[[#This Row],[Start Month]]="","",IF(AND(_xlfn.ISFORMULA(Tbl_B4_HelperColumns_01[[#This Row],[Start Month]]),EXACT(Tbl_B4_HelperColumns_01[[#This Row],[Start Month]],Tbl_B4_HelperColumns_01[[#This Row],[Start Month ANS]])),Rng_Lkp_AnswerStatus_Good,Rng_Lkp_AnswerStatus_Bad)),Rng_Lkp_AnswerStatus_Bad)</f>
        <v/>
      </c>
      <c r="J15" s="41">
        <v>1</v>
      </c>
      <c r="K15" s="40"/>
      <c r="L15" s="27" t="str">
        <f>IFERROR(IF(Tbl_B4_HelperColumns_01[[#This Row],[Start Day]]="","",IF(AND(_xlfn.ISFORMULA(Tbl_B4_HelperColumns_01[[#This Row],[Start Day]]),EXACT(Tbl_B4_HelperColumns_01[[#This Row],[Start Day]],Tbl_B4_HelperColumns_01[[#This Row],[Start Day ANS]])),Rng_Lkp_AnswerStatus_Good,Rng_Lkp_AnswerStatus_Bad)),Rng_Lkp_AnswerStatus_Bad)</f>
        <v/>
      </c>
      <c r="M15" s="41">
        <v>1</v>
      </c>
      <c r="N15" s="33"/>
      <c r="O15" s="27" t="str">
        <f>IFERROR(IF(Tbl_B4_HelperColumns_01[[#This Row],[3 Months After Start Date]]="","",IF(AND(_xlfn.ISFORMULA(Tbl_B4_HelperColumns_01[[#This Row],[3 Months After Start Date]]),EXACT(Tbl_B4_HelperColumns_01[[#This Row],[3 Months After Start Date]],Tbl_B4_HelperColumns_01[[#This Row],[3 Months After Start Date ANS]])),Rng_Lkp_AnswerStatus_Good,Rng_Lkp_AnswerStatus_Bad)),Rng_Lkp_AnswerStatus_Bad)</f>
        <v/>
      </c>
      <c r="P15" s="34">
        <v>43556</v>
      </c>
    </row>
    <row r="16" spans="1:16" x14ac:dyDescent="0.25">
      <c r="B16" s="11">
        <v>1066</v>
      </c>
      <c r="C16" s="12" t="s">
        <v>16</v>
      </c>
      <c r="D16" s="12">
        <v>41568</v>
      </c>
      <c r="E16" s="40"/>
      <c r="F16" s="27" t="str">
        <f>IFERROR(IF(Tbl_B4_HelperColumns_01[[#This Row],[Start Year]]="","",IF(AND(_xlfn.ISFORMULA(Tbl_B4_HelperColumns_01[[#This Row],[Start Year]]),EXACT(Tbl_B4_HelperColumns_01[[#This Row],[Start Year]],Tbl_B4_HelperColumns_01[[#This Row],[Start Year ANS]])),Rng_Lkp_AnswerStatus_Good,Rng_Lkp_AnswerStatus_Bad)),Rng_Lkp_AnswerStatus_Bad)</f>
        <v/>
      </c>
      <c r="G16" s="41">
        <v>2013</v>
      </c>
      <c r="H16" s="40"/>
      <c r="I16" s="27" t="str">
        <f>IFERROR(IF(Tbl_B4_HelperColumns_01[[#This Row],[Start Month]]="","",IF(AND(_xlfn.ISFORMULA(Tbl_B4_HelperColumns_01[[#This Row],[Start Month]]),EXACT(Tbl_B4_HelperColumns_01[[#This Row],[Start Month]],Tbl_B4_HelperColumns_01[[#This Row],[Start Month ANS]])),Rng_Lkp_AnswerStatus_Good,Rng_Lkp_AnswerStatus_Bad)),Rng_Lkp_AnswerStatus_Bad)</f>
        <v/>
      </c>
      <c r="J16" s="41">
        <v>10</v>
      </c>
      <c r="K16" s="40"/>
      <c r="L16" s="27" t="str">
        <f>IFERROR(IF(Tbl_B4_HelperColumns_01[[#This Row],[Start Day]]="","",IF(AND(_xlfn.ISFORMULA(Tbl_B4_HelperColumns_01[[#This Row],[Start Day]]),EXACT(Tbl_B4_HelperColumns_01[[#This Row],[Start Day]],Tbl_B4_HelperColumns_01[[#This Row],[Start Day ANS]])),Rng_Lkp_AnswerStatus_Good,Rng_Lkp_AnswerStatus_Bad)),Rng_Lkp_AnswerStatus_Bad)</f>
        <v/>
      </c>
      <c r="M16" s="41">
        <v>21</v>
      </c>
      <c r="N16" s="33"/>
      <c r="O16" s="27" t="str">
        <f>IFERROR(IF(Tbl_B4_HelperColumns_01[[#This Row],[3 Months After Start Date]]="","",IF(AND(_xlfn.ISFORMULA(Tbl_B4_HelperColumns_01[[#This Row],[3 Months After Start Date]]),EXACT(Tbl_B4_HelperColumns_01[[#This Row],[3 Months After Start Date]],Tbl_B4_HelperColumns_01[[#This Row],[3 Months After Start Date ANS]])),Rng_Lkp_AnswerStatus_Good,Rng_Lkp_AnswerStatus_Bad)),Rng_Lkp_AnswerStatus_Bad)</f>
        <v/>
      </c>
      <c r="P16" s="34">
        <v>41660</v>
      </c>
    </row>
    <row r="17" spans="2:16" x14ac:dyDescent="0.25">
      <c r="B17" s="11">
        <v>2316</v>
      </c>
      <c r="C17" s="12" t="s">
        <v>144</v>
      </c>
      <c r="D17" s="12">
        <v>42898</v>
      </c>
      <c r="E17" s="40"/>
      <c r="F17" s="27" t="str">
        <f>IFERROR(IF(Tbl_B4_HelperColumns_01[[#This Row],[Start Year]]="","",IF(AND(_xlfn.ISFORMULA(Tbl_B4_HelperColumns_01[[#This Row],[Start Year]]),EXACT(Tbl_B4_HelperColumns_01[[#This Row],[Start Year]],Tbl_B4_HelperColumns_01[[#This Row],[Start Year ANS]])),Rng_Lkp_AnswerStatus_Good,Rng_Lkp_AnswerStatus_Bad)),Rng_Lkp_AnswerStatus_Bad)</f>
        <v/>
      </c>
      <c r="G17" s="41">
        <v>2017</v>
      </c>
      <c r="H17" s="40"/>
      <c r="I17" s="27" t="str">
        <f>IFERROR(IF(Tbl_B4_HelperColumns_01[[#This Row],[Start Month]]="","",IF(AND(_xlfn.ISFORMULA(Tbl_B4_HelperColumns_01[[#This Row],[Start Month]]),EXACT(Tbl_B4_HelperColumns_01[[#This Row],[Start Month]],Tbl_B4_HelperColumns_01[[#This Row],[Start Month ANS]])),Rng_Lkp_AnswerStatus_Good,Rng_Lkp_AnswerStatus_Bad)),Rng_Lkp_AnswerStatus_Bad)</f>
        <v/>
      </c>
      <c r="J17" s="41">
        <v>6</v>
      </c>
      <c r="K17" s="40"/>
      <c r="L17" s="27" t="str">
        <f>IFERROR(IF(Tbl_B4_HelperColumns_01[[#This Row],[Start Day]]="","",IF(AND(_xlfn.ISFORMULA(Tbl_B4_HelperColumns_01[[#This Row],[Start Day]]),EXACT(Tbl_B4_HelperColumns_01[[#This Row],[Start Day]],Tbl_B4_HelperColumns_01[[#This Row],[Start Day ANS]])),Rng_Lkp_AnswerStatus_Good,Rng_Lkp_AnswerStatus_Bad)),Rng_Lkp_AnswerStatus_Bad)</f>
        <v/>
      </c>
      <c r="M17" s="41">
        <v>12</v>
      </c>
      <c r="N17" s="33"/>
      <c r="O17" s="27" t="str">
        <f>IFERROR(IF(Tbl_B4_HelperColumns_01[[#This Row],[3 Months After Start Date]]="","",IF(AND(_xlfn.ISFORMULA(Tbl_B4_HelperColumns_01[[#This Row],[3 Months After Start Date]]),EXACT(Tbl_B4_HelperColumns_01[[#This Row],[3 Months After Start Date]],Tbl_B4_HelperColumns_01[[#This Row],[3 Months After Start Date ANS]])),Rng_Lkp_AnswerStatus_Good,Rng_Lkp_AnswerStatus_Bad)),Rng_Lkp_AnswerStatus_Bad)</f>
        <v/>
      </c>
      <c r="P17" s="34">
        <v>42990</v>
      </c>
    </row>
    <row r="18" spans="2:16" x14ac:dyDescent="0.25">
      <c r="B18" s="14">
        <v>3334</v>
      </c>
      <c r="C18" s="15" t="s">
        <v>17</v>
      </c>
      <c r="D18" s="15">
        <v>41121</v>
      </c>
      <c r="E18" s="40"/>
      <c r="F18" s="27" t="str">
        <f>IFERROR(IF(Tbl_B4_HelperColumns_01[[#This Row],[Start Year]]="","",IF(AND(_xlfn.ISFORMULA(Tbl_B4_HelperColumns_01[[#This Row],[Start Year]]),EXACT(Tbl_B4_HelperColumns_01[[#This Row],[Start Year]],Tbl_B4_HelperColumns_01[[#This Row],[Start Year ANS]])),Rng_Lkp_AnswerStatus_Good,Rng_Lkp_AnswerStatus_Bad)),Rng_Lkp_AnswerStatus_Bad)</f>
        <v/>
      </c>
      <c r="G18" s="41">
        <v>2012</v>
      </c>
      <c r="H18" s="40"/>
      <c r="I18" s="27" t="str">
        <f>IFERROR(IF(Tbl_B4_HelperColumns_01[[#This Row],[Start Month]]="","",IF(AND(_xlfn.ISFORMULA(Tbl_B4_HelperColumns_01[[#This Row],[Start Month]]),EXACT(Tbl_B4_HelperColumns_01[[#This Row],[Start Month]],Tbl_B4_HelperColumns_01[[#This Row],[Start Month ANS]])),Rng_Lkp_AnswerStatus_Good,Rng_Lkp_AnswerStatus_Bad)),Rng_Lkp_AnswerStatus_Bad)</f>
        <v/>
      </c>
      <c r="J18" s="41">
        <v>7</v>
      </c>
      <c r="K18" s="40"/>
      <c r="L18" s="27" t="str">
        <f>IFERROR(IF(Tbl_B4_HelperColumns_01[[#This Row],[Start Day]]="","",IF(AND(_xlfn.ISFORMULA(Tbl_B4_HelperColumns_01[[#This Row],[Start Day]]),EXACT(Tbl_B4_HelperColumns_01[[#This Row],[Start Day]],Tbl_B4_HelperColumns_01[[#This Row],[Start Day ANS]])),Rng_Lkp_AnswerStatus_Good,Rng_Lkp_AnswerStatus_Bad)),Rng_Lkp_AnswerStatus_Bad)</f>
        <v/>
      </c>
      <c r="M18" s="41">
        <v>31</v>
      </c>
      <c r="N18" s="33"/>
      <c r="O18" s="27" t="str">
        <f>IFERROR(IF(Tbl_B4_HelperColumns_01[[#This Row],[3 Months After Start Date]]="","",IF(AND(_xlfn.ISFORMULA(Tbl_B4_HelperColumns_01[[#This Row],[3 Months After Start Date]]),EXACT(Tbl_B4_HelperColumns_01[[#This Row],[3 Months After Start Date]],Tbl_B4_HelperColumns_01[[#This Row],[3 Months After Start Date ANS]])),Rng_Lkp_AnswerStatus_Good,Rng_Lkp_AnswerStatus_Bad)),Rng_Lkp_AnswerStatus_Bad)</f>
        <v/>
      </c>
      <c r="P18" s="34">
        <v>41213</v>
      </c>
    </row>
    <row r="19" spans="2:16" x14ac:dyDescent="0.25">
      <c r="B19" s="14">
        <v>1084</v>
      </c>
      <c r="C19" s="15" t="s">
        <v>145</v>
      </c>
      <c r="D19" s="15">
        <v>41638</v>
      </c>
      <c r="E19" s="40"/>
      <c r="F19" s="27" t="str">
        <f>IFERROR(IF(Tbl_B4_HelperColumns_01[[#This Row],[Start Year]]="","",IF(AND(_xlfn.ISFORMULA(Tbl_B4_HelperColumns_01[[#This Row],[Start Year]]),EXACT(Tbl_B4_HelperColumns_01[[#This Row],[Start Year]],Tbl_B4_HelperColumns_01[[#This Row],[Start Year ANS]])),Rng_Lkp_AnswerStatus_Good,Rng_Lkp_AnswerStatus_Bad)),Rng_Lkp_AnswerStatus_Bad)</f>
        <v/>
      </c>
      <c r="G19" s="41">
        <v>2013</v>
      </c>
      <c r="H19" s="40"/>
      <c r="I19" s="27" t="str">
        <f>IFERROR(IF(Tbl_B4_HelperColumns_01[[#This Row],[Start Month]]="","",IF(AND(_xlfn.ISFORMULA(Tbl_B4_HelperColumns_01[[#This Row],[Start Month]]),EXACT(Tbl_B4_HelperColumns_01[[#This Row],[Start Month]],Tbl_B4_HelperColumns_01[[#This Row],[Start Month ANS]])),Rng_Lkp_AnswerStatus_Good,Rng_Lkp_AnswerStatus_Bad)),Rng_Lkp_AnswerStatus_Bad)</f>
        <v/>
      </c>
      <c r="J19" s="41">
        <v>12</v>
      </c>
      <c r="K19" s="40"/>
      <c r="L19" s="27" t="str">
        <f>IFERROR(IF(Tbl_B4_HelperColumns_01[[#This Row],[Start Day]]="","",IF(AND(_xlfn.ISFORMULA(Tbl_B4_HelperColumns_01[[#This Row],[Start Day]]),EXACT(Tbl_B4_HelperColumns_01[[#This Row],[Start Day]],Tbl_B4_HelperColumns_01[[#This Row],[Start Day ANS]])),Rng_Lkp_AnswerStatus_Good,Rng_Lkp_AnswerStatus_Bad)),Rng_Lkp_AnswerStatus_Bad)</f>
        <v/>
      </c>
      <c r="M19" s="41">
        <v>30</v>
      </c>
      <c r="N19" s="33"/>
      <c r="O19" s="27" t="str">
        <f>IFERROR(IF(Tbl_B4_HelperColumns_01[[#This Row],[3 Months After Start Date]]="","",IF(AND(_xlfn.ISFORMULA(Tbl_B4_HelperColumns_01[[#This Row],[3 Months After Start Date]]),EXACT(Tbl_B4_HelperColumns_01[[#This Row],[3 Months After Start Date]],Tbl_B4_HelperColumns_01[[#This Row],[3 Months After Start Date ANS]])),Rng_Lkp_AnswerStatus_Good,Rng_Lkp_AnswerStatus_Bad)),Rng_Lkp_AnswerStatus_Bad)</f>
        <v/>
      </c>
      <c r="P19" s="34">
        <v>41728</v>
      </c>
    </row>
    <row r="20" spans="2:16" x14ac:dyDescent="0.25">
      <c r="B20" s="14">
        <v>2458</v>
      </c>
      <c r="C20" s="15" t="s">
        <v>18</v>
      </c>
      <c r="D20" s="15">
        <v>41176</v>
      </c>
      <c r="E20" s="40"/>
      <c r="F20" s="27" t="str">
        <f>IFERROR(IF(Tbl_B4_HelperColumns_01[[#This Row],[Start Year]]="","",IF(AND(_xlfn.ISFORMULA(Tbl_B4_HelperColumns_01[[#This Row],[Start Year]]),EXACT(Tbl_B4_HelperColumns_01[[#This Row],[Start Year]],Tbl_B4_HelperColumns_01[[#This Row],[Start Year ANS]])),Rng_Lkp_AnswerStatus_Good,Rng_Lkp_AnswerStatus_Bad)),Rng_Lkp_AnswerStatus_Bad)</f>
        <v/>
      </c>
      <c r="G20" s="41">
        <v>2012</v>
      </c>
      <c r="H20" s="40"/>
      <c r="I20" s="27" t="str">
        <f>IFERROR(IF(Tbl_B4_HelperColumns_01[[#This Row],[Start Month]]="","",IF(AND(_xlfn.ISFORMULA(Tbl_B4_HelperColumns_01[[#This Row],[Start Month]]),EXACT(Tbl_B4_HelperColumns_01[[#This Row],[Start Month]],Tbl_B4_HelperColumns_01[[#This Row],[Start Month ANS]])),Rng_Lkp_AnswerStatus_Good,Rng_Lkp_AnswerStatus_Bad)),Rng_Lkp_AnswerStatus_Bad)</f>
        <v/>
      </c>
      <c r="J20" s="41">
        <v>9</v>
      </c>
      <c r="K20" s="40"/>
      <c r="L20" s="27" t="str">
        <f>IFERROR(IF(Tbl_B4_HelperColumns_01[[#This Row],[Start Day]]="","",IF(AND(_xlfn.ISFORMULA(Tbl_B4_HelperColumns_01[[#This Row],[Start Day]]),EXACT(Tbl_B4_HelperColumns_01[[#This Row],[Start Day]],Tbl_B4_HelperColumns_01[[#This Row],[Start Day ANS]])),Rng_Lkp_AnswerStatus_Good,Rng_Lkp_AnswerStatus_Bad)),Rng_Lkp_AnswerStatus_Bad)</f>
        <v/>
      </c>
      <c r="M20" s="41">
        <v>24</v>
      </c>
      <c r="N20" s="33"/>
      <c r="O20" s="27" t="str">
        <f>IFERROR(IF(Tbl_B4_HelperColumns_01[[#This Row],[3 Months After Start Date]]="","",IF(AND(_xlfn.ISFORMULA(Tbl_B4_HelperColumns_01[[#This Row],[3 Months After Start Date]]),EXACT(Tbl_B4_HelperColumns_01[[#This Row],[3 Months After Start Date]],Tbl_B4_HelperColumns_01[[#This Row],[3 Months After Start Date ANS]])),Rng_Lkp_AnswerStatus_Good,Rng_Lkp_AnswerStatus_Bad)),Rng_Lkp_AnswerStatus_Bad)</f>
        <v/>
      </c>
      <c r="P20" s="34">
        <v>41267</v>
      </c>
    </row>
    <row r="21" spans="2:16" x14ac:dyDescent="0.25">
      <c r="B21" s="14">
        <v>1495</v>
      </c>
      <c r="C21" s="15" t="s">
        <v>146</v>
      </c>
      <c r="D21" s="15">
        <v>43466</v>
      </c>
      <c r="E21" s="40"/>
      <c r="F21" s="27" t="str">
        <f>IFERROR(IF(Tbl_B4_HelperColumns_01[[#This Row],[Start Year]]="","",IF(AND(_xlfn.ISFORMULA(Tbl_B4_HelperColumns_01[[#This Row],[Start Year]]),EXACT(Tbl_B4_HelperColumns_01[[#This Row],[Start Year]],Tbl_B4_HelperColumns_01[[#This Row],[Start Year ANS]])),Rng_Lkp_AnswerStatus_Good,Rng_Lkp_AnswerStatus_Bad)),Rng_Lkp_AnswerStatus_Bad)</f>
        <v/>
      </c>
      <c r="G21" s="41">
        <v>2019</v>
      </c>
      <c r="H21" s="40"/>
      <c r="I21" s="27" t="str">
        <f>IFERROR(IF(Tbl_B4_HelperColumns_01[[#This Row],[Start Month]]="","",IF(AND(_xlfn.ISFORMULA(Tbl_B4_HelperColumns_01[[#This Row],[Start Month]]),EXACT(Tbl_B4_HelperColumns_01[[#This Row],[Start Month]],Tbl_B4_HelperColumns_01[[#This Row],[Start Month ANS]])),Rng_Lkp_AnswerStatus_Good,Rng_Lkp_AnswerStatus_Bad)),Rng_Lkp_AnswerStatus_Bad)</f>
        <v/>
      </c>
      <c r="J21" s="41">
        <v>1</v>
      </c>
      <c r="K21" s="40"/>
      <c r="L21" s="27" t="str">
        <f>IFERROR(IF(Tbl_B4_HelperColumns_01[[#This Row],[Start Day]]="","",IF(AND(_xlfn.ISFORMULA(Tbl_B4_HelperColumns_01[[#This Row],[Start Day]]),EXACT(Tbl_B4_HelperColumns_01[[#This Row],[Start Day]],Tbl_B4_HelperColumns_01[[#This Row],[Start Day ANS]])),Rng_Lkp_AnswerStatus_Good,Rng_Lkp_AnswerStatus_Bad)),Rng_Lkp_AnswerStatus_Bad)</f>
        <v/>
      </c>
      <c r="M21" s="41">
        <v>1</v>
      </c>
      <c r="N21" s="33"/>
      <c r="O21" s="27" t="str">
        <f>IFERROR(IF(Tbl_B4_HelperColumns_01[[#This Row],[3 Months After Start Date]]="","",IF(AND(_xlfn.ISFORMULA(Tbl_B4_HelperColumns_01[[#This Row],[3 Months After Start Date]]),EXACT(Tbl_B4_HelperColumns_01[[#This Row],[3 Months After Start Date]],Tbl_B4_HelperColumns_01[[#This Row],[3 Months After Start Date ANS]])),Rng_Lkp_AnswerStatus_Good,Rng_Lkp_AnswerStatus_Bad)),Rng_Lkp_AnswerStatus_Bad)</f>
        <v/>
      </c>
      <c r="P21" s="34">
        <v>43556</v>
      </c>
    </row>
    <row r="22" spans="2:16" x14ac:dyDescent="0.25">
      <c r="B22" s="14">
        <v>1131</v>
      </c>
      <c r="C22" s="15" t="s">
        <v>19</v>
      </c>
      <c r="D22" s="15">
        <v>41120</v>
      </c>
      <c r="E22" s="40"/>
      <c r="F22" s="27" t="str">
        <f>IFERROR(IF(Tbl_B4_HelperColumns_01[[#This Row],[Start Year]]="","",IF(AND(_xlfn.ISFORMULA(Tbl_B4_HelperColumns_01[[#This Row],[Start Year]]),EXACT(Tbl_B4_HelperColumns_01[[#This Row],[Start Year]],Tbl_B4_HelperColumns_01[[#This Row],[Start Year ANS]])),Rng_Lkp_AnswerStatus_Good,Rng_Lkp_AnswerStatus_Bad)),Rng_Lkp_AnswerStatus_Bad)</f>
        <v/>
      </c>
      <c r="G22" s="41">
        <v>2012</v>
      </c>
      <c r="H22" s="40"/>
      <c r="I22" s="27" t="str">
        <f>IFERROR(IF(Tbl_B4_HelperColumns_01[[#This Row],[Start Month]]="","",IF(AND(_xlfn.ISFORMULA(Tbl_B4_HelperColumns_01[[#This Row],[Start Month]]),EXACT(Tbl_B4_HelperColumns_01[[#This Row],[Start Month]],Tbl_B4_HelperColumns_01[[#This Row],[Start Month ANS]])),Rng_Lkp_AnswerStatus_Good,Rng_Lkp_AnswerStatus_Bad)),Rng_Lkp_AnswerStatus_Bad)</f>
        <v/>
      </c>
      <c r="J22" s="41">
        <v>7</v>
      </c>
      <c r="K22" s="40"/>
      <c r="L22" s="27" t="str">
        <f>IFERROR(IF(Tbl_B4_HelperColumns_01[[#This Row],[Start Day]]="","",IF(AND(_xlfn.ISFORMULA(Tbl_B4_HelperColumns_01[[#This Row],[Start Day]]),EXACT(Tbl_B4_HelperColumns_01[[#This Row],[Start Day]],Tbl_B4_HelperColumns_01[[#This Row],[Start Day ANS]])),Rng_Lkp_AnswerStatus_Good,Rng_Lkp_AnswerStatus_Bad)),Rng_Lkp_AnswerStatus_Bad)</f>
        <v/>
      </c>
      <c r="M22" s="41">
        <v>30</v>
      </c>
      <c r="N22" s="33"/>
      <c r="O22" s="27" t="str">
        <f>IFERROR(IF(Tbl_B4_HelperColumns_01[[#This Row],[3 Months After Start Date]]="","",IF(AND(_xlfn.ISFORMULA(Tbl_B4_HelperColumns_01[[#This Row],[3 Months After Start Date]]),EXACT(Tbl_B4_HelperColumns_01[[#This Row],[3 Months After Start Date]],Tbl_B4_HelperColumns_01[[#This Row],[3 Months After Start Date ANS]])),Rng_Lkp_AnswerStatus_Good,Rng_Lkp_AnswerStatus_Bad)),Rng_Lkp_AnswerStatus_Bad)</f>
        <v/>
      </c>
      <c r="P22" s="34">
        <v>41212</v>
      </c>
    </row>
    <row r="23" spans="2:16" x14ac:dyDescent="0.25">
      <c r="B23" s="14">
        <v>2314</v>
      </c>
      <c r="C23" s="15" t="s">
        <v>147</v>
      </c>
      <c r="D23" s="15">
        <v>42054</v>
      </c>
      <c r="E23" s="40"/>
      <c r="F23" s="27" t="str">
        <f>IFERROR(IF(Tbl_B4_HelperColumns_01[[#This Row],[Start Year]]="","",IF(AND(_xlfn.ISFORMULA(Tbl_B4_HelperColumns_01[[#This Row],[Start Year]]),EXACT(Tbl_B4_HelperColumns_01[[#This Row],[Start Year]],Tbl_B4_HelperColumns_01[[#This Row],[Start Year ANS]])),Rng_Lkp_AnswerStatus_Good,Rng_Lkp_AnswerStatus_Bad)),Rng_Lkp_AnswerStatus_Bad)</f>
        <v/>
      </c>
      <c r="G23" s="41">
        <v>2015</v>
      </c>
      <c r="H23" s="40"/>
      <c r="I23" s="27" t="str">
        <f>IFERROR(IF(Tbl_B4_HelperColumns_01[[#This Row],[Start Month]]="","",IF(AND(_xlfn.ISFORMULA(Tbl_B4_HelperColumns_01[[#This Row],[Start Month]]),EXACT(Tbl_B4_HelperColumns_01[[#This Row],[Start Month]],Tbl_B4_HelperColumns_01[[#This Row],[Start Month ANS]])),Rng_Lkp_AnswerStatus_Good,Rng_Lkp_AnswerStatus_Bad)),Rng_Lkp_AnswerStatus_Bad)</f>
        <v/>
      </c>
      <c r="J23" s="41">
        <v>2</v>
      </c>
      <c r="K23" s="40"/>
      <c r="L23" s="27" t="str">
        <f>IFERROR(IF(Tbl_B4_HelperColumns_01[[#This Row],[Start Day]]="","",IF(AND(_xlfn.ISFORMULA(Tbl_B4_HelperColumns_01[[#This Row],[Start Day]]),EXACT(Tbl_B4_HelperColumns_01[[#This Row],[Start Day]],Tbl_B4_HelperColumns_01[[#This Row],[Start Day ANS]])),Rng_Lkp_AnswerStatus_Good,Rng_Lkp_AnswerStatus_Bad)),Rng_Lkp_AnswerStatus_Bad)</f>
        <v/>
      </c>
      <c r="M23" s="41">
        <v>19</v>
      </c>
      <c r="N23" s="33"/>
      <c r="O23" s="27" t="str">
        <f>IFERROR(IF(Tbl_B4_HelperColumns_01[[#This Row],[3 Months After Start Date]]="","",IF(AND(_xlfn.ISFORMULA(Tbl_B4_HelperColumns_01[[#This Row],[3 Months After Start Date]]),EXACT(Tbl_B4_HelperColumns_01[[#This Row],[3 Months After Start Date]],Tbl_B4_HelperColumns_01[[#This Row],[3 Months After Start Date ANS]])),Rng_Lkp_AnswerStatus_Good,Rng_Lkp_AnswerStatus_Bad)),Rng_Lkp_AnswerStatus_Bad)</f>
        <v/>
      </c>
      <c r="P23" s="34">
        <v>42143</v>
      </c>
    </row>
    <row r="24" spans="2:16" x14ac:dyDescent="0.25">
      <c r="B24" s="14">
        <v>2304</v>
      </c>
      <c r="C24" s="15" t="s">
        <v>20</v>
      </c>
      <c r="D24" s="15">
        <v>43025</v>
      </c>
      <c r="E24" s="40"/>
      <c r="F24" s="27" t="str">
        <f>IFERROR(IF(Tbl_B4_HelperColumns_01[[#This Row],[Start Year]]="","",IF(AND(_xlfn.ISFORMULA(Tbl_B4_HelperColumns_01[[#This Row],[Start Year]]),EXACT(Tbl_B4_HelperColumns_01[[#This Row],[Start Year]],Tbl_B4_HelperColumns_01[[#This Row],[Start Year ANS]])),Rng_Lkp_AnswerStatus_Good,Rng_Lkp_AnswerStatus_Bad)),Rng_Lkp_AnswerStatus_Bad)</f>
        <v/>
      </c>
      <c r="G24" s="41">
        <v>2017</v>
      </c>
      <c r="H24" s="40"/>
      <c r="I24" s="27" t="str">
        <f>IFERROR(IF(Tbl_B4_HelperColumns_01[[#This Row],[Start Month]]="","",IF(AND(_xlfn.ISFORMULA(Tbl_B4_HelperColumns_01[[#This Row],[Start Month]]),EXACT(Tbl_B4_HelperColumns_01[[#This Row],[Start Month]],Tbl_B4_HelperColumns_01[[#This Row],[Start Month ANS]])),Rng_Lkp_AnswerStatus_Good,Rng_Lkp_AnswerStatus_Bad)),Rng_Lkp_AnswerStatus_Bad)</f>
        <v/>
      </c>
      <c r="J24" s="41">
        <v>10</v>
      </c>
      <c r="K24" s="40"/>
      <c r="L24" s="27" t="str">
        <f>IFERROR(IF(Tbl_B4_HelperColumns_01[[#This Row],[Start Day]]="","",IF(AND(_xlfn.ISFORMULA(Tbl_B4_HelperColumns_01[[#This Row],[Start Day]]),EXACT(Tbl_B4_HelperColumns_01[[#This Row],[Start Day]],Tbl_B4_HelperColumns_01[[#This Row],[Start Day ANS]])),Rng_Lkp_AnswerStatus_Good,Rng_Lkp_AnswerStatus_Bad)),Rng_Lkp_AnswerStatus_Bad)</f>
        <v/>
      </c>
      <c r="M24" s="41">
        <v>17</v>
      </c>
      <c r="N24" s="33"/>
      <c r="O24" s="27" t="str">
        <f>IFERROR(IF(Tbl_B4_HelperColumns_01[[#This Row],[3 Months After Start Date]]="","",IF(AND(_xlfn.ISFORMULA(Tbl_B4_HelperColumns_01[[#This Row],[3 Months After Start Date]]),EXACT(Tbl_B4_HelperColumns_01[[#This Row],[3 Months After Start Date]],Tbl_B4_HelperColumns_01[[#This Row],[3 Months After Start Date ANS]])),Rng_Lkp_AnswerStatus_Good,Rng_Lkp_AnswerStatus_Bad)),Rng_Lkp_AnswerStatus_Bad)</f>
        <v/>
      </c>
      <c r="P24" s="34">
        <v>43117</v>
      </c>
    </row>
    <row r="25" spans="2:16" x14ac:dyDescent="0.25">
      <c r="B25" s="14">
        <v>3694</v>
      </c>
      <c r="C25" s="15" t="s">
        <v>21</v>
      </c>
      <c r="D25" s="15">
        <v>43466</v>
      </c>
      <c r="E25" s="40"/>
      <c r="F25" s="27" t="str">
        <f>IFERROR(IF(Tbl_B4_HelperColumns_01[[#This Row],[Start Year]]="","",IF(AND(_xlfn.ISFORMULA(Tbl_B4_HelperColumns_01[[#This Row],[Start Year]]),EXACT(Tbl_B4_HelperColumns_01[[#This Row],[Start Year]],Tbl_B4_HelperColumns_01[[#This Row],[Start Year ANS]])),Rng_Lkp_AnswerStatus_Good,Rng_Lkp_AnswerStatus_Bad)),Rng_Lkp_AnswerStatus_Bad)</f>
        <v/>
      </c>
      <c r="G25" s="41">
        <v>2019</v>
      </c>
      <c r="H25" s="40"/>
      <c r="I25" s="27" t="str">
        <f>IFERROR(IF(Tbl_B4_HelperColumns_01[[#This Row],[Start Month]]="","",IF(AND(_xlfn.ISFORMULA(Tbl_B4_HelperColumns_01[[#This Row],[Start Month]]),EXACT(Tbl_B4_HelperColumns_01[[#This Row],[Start Month]],Tbl_B4_HelperColumns_01[[#This Row],[Start Month ANS]])),Rng_Lkp_AnswerStatus_Good,Rng_Lkp_AnswerStatus_Bad)),Rng_Lkp_AnswerStatus_Bad)</f>
        <v/>
      </c>
      <c r="J25" s="41">
        <v>1</v>
      </c>
      <c r="K25" s="40"/>
      <c r="L25" s="27" t="str">
        <f>IFERROR(IF(Tbl_B4_HelperColumns_01[[#This Row],[Start Day]]="","",IF(AND(_xlfn.ISFORMULA(Tbl_B4_HelperColumns_01[[#This Row],[Start Day]]),EXACT(Tbl_B4_HelperColumns_01[[#This Row],[Start Day]],Tbl_B4_HelperColumns_01[[#This Row],[Start Day ANS]])),Rng_Lkp_AnswerStatus_Good,Rng_Lkp_AnswerStatus_Bad)),Rng_Lkp_AnswerStatus_Bad)</f>
        <v/>
      </c>
      <c r="M25" s="41">
        <v>1</v>
      </c>
      <c r="N25" s="33"/>
      <c r="O25" s="27" t="str">
        <f>IFERROR(IF(Tbl_B4_HelperColumns_01[[#This Row],[3 Months After Start Date]]="","",IF(AND(_xlfn.ISFORMULA(Tbl_B4_HelperColumns_01[[#This Row],[3 Months After Start Date]]),EXACT(Tbl_B4_HelperColumns_01[[#This Row],[3 Months After Start Date]],Tbl_B4_HelperColumns_01[[#This Row],[3 Months After Start Date ANS]])),Rng_Lkp_AnswerStatus_Good,Rng_Lkp_AnswerStatus_Bad)),Rng_Lkp_AnswerStatus_Bad)</f>
        <v/>
      </c>
      <c r="P25" s="34">
        <v>43556</v>
      </c>
    </row>
    <row r="26" spans="2:16" x14ac:dyDescent="0.25">
      <c r="B26" s="14">
        <v>4522</v>
      </c>
      <c r="C26" s="15" t="s">
        <v>22</v>
      </c>
      <c r="D26" s="15">
        <v>43466</v>
      </c>
      <c r="E26" s="40"/>
      <c r="F26" s="27" t="str">
        <f>IFERROR(IF(Tbl_B4_HelperColumns_01[[#This Row],[Start Year]]="","",IF(AND(_xlfn.ISFORMULA(Tbl_B4_HelperColumns_01[[#This Row],[Start Year]]),EXACT(Tbl_B4_HelperColumns_01[[#This Row],[Start Year]],Tbl_B4_HelperColumns_01[[#This Row],[Start Year ANS]])),Rng_Lkp_AnswerStatus_Good,Rng_Lkp_AnswerStatus_Bad)),Rng_Lkp_AnswerStatus_Bad)</f>
        <v/>
      </c>
      <c r="G26" s="41">
        <v>2019</v>
      </c>
      <c r="H26" s="40"/>
      <c r="I26" s="27" t="str">
        <f>IFERROR(IF(Tbl_B4_HelperColumns_01[[#This Row],[Start Month]]="","",IF(AND(_xlfn.ISFORMULA(Tbl_B4_HelperColumns_01[[#This Row],[Start Month]]),EXACT(Tbl_B4_HelperColumns_01[[#This Row],[Start Month]],Tbl_B4_HelperColumns_01[[#This Row],[Start Month ANS]])),Rng_Lkp_AnswerStatus_Good,Rng_Lkp_AnswerStatus_Bad)),Rng_Lkp_AnswerStatus_Bad)</f>
        <v/>
      </c>
      <c r="J26" s="41">
        <v>1</v>
      </c>
      <c r="K26" s="40"/>
      <c r="L26" s="27" t="str">
        <f>IFERROR(IF(Tbl_B4_HelperColumns_01[[#This Row],[Start Day]]="","",IF(AND(_xlfn.ISFORMULA(Tbl_B4_HelperColumns_01[[#This Row],[Start Day]]),EXACT(Tbl_B4_HelperColumns_01[[#This Row],[Start Day]],Tbl_B4_HelperColumns_01[[#This Row],[Start Day ANS]])),Rng_Lkp_AnswerStatus_Good,Rng_Lkp_AnswerStatus_Bad)),Rng_Lkp_AnswerStatus_Bad)</f>
        <v/>
      </c>
      <c r="M26" s="41">
        <v>1</v>
      </c>
      <c r="N26" s="33"/>
      <c r="O26" s="27" t="str">
        <f>IFERROR(IF(Tbl_B4_HelperColumns_01[[#This Row],[3 Months After Start Date]]="","",IF(AND(_xlfn.ISFORMULA(Tbl_B4_HelperColumns_01[[#This Row],[3 Months After Start Date]]),EXACT(Tbl_B4_HelperColumns_01[[#This Row],[3 Months After Start Date]],Tbl_B4_HelperColumns_01[[#This Row],[3 Months After Start Date ANS]])),Rng_Lkp_AnswerStatus_Good,Rng_Lkp_AnswerStatus_Bad)),Rng_Lkp_AnswerStatus_Bad)</f>
        <v/>
      </c>
      <c r="P26" s="34">
        <v>43556</v>
      </c>
    </row>
    <row r="27" spans="2:16" x14ac:dyDescent="0.25">
      <c r="B27" s="14">
        <v>1198</v>
      </c>
      <c r="C27" s="15" t="s">
        <v>148</v>
      </c>
      <c r="D27" s="15">
        <v>41905</v>
      </c>
      <c r="E27" s="40"/>
      <c r="F27" s="27" t="str">
        <f>IFERROR(IF(Tbl_B4_HelperColumns_01[[#This Row],[Start Year]]="","",IF(AND(_xlfn.ISFORMULA(Tbl_B4_HelperColumns_01[[#This Row],[Start Year]]),EXACT(Tbl_B4_HelperColumns_01[[#This Row],[Start Year]],Tbl_B4_HelperColumns_01[[#This Row],[Start Year ANS]])),Rng_Lkp_AnswerStatus_Good,Rng_Lkp_AnswerStatus_Bad)),Rng_Lkp_AnswerStatus_Bad)</f>
        <v/>
      </c>
      <c r="G27" s="41">
        <v>2014</v>
      </c>
      <c r="H27" s="40"/>
      <c r="I27" s="27" t="str">
        <f>IFERROR(IF(Tbl_B4_HelperColumns_01[[#This Row],[Start Month]]="","",IF(AND(_xlfn.ISFORMULA(Tbl_B4_HelperColumns_01[[#This Row],[Start Month]]),EXACT(Tbl_B4_HelperColumns_01[[#This Row],[Start Month]],Tbl_B4_HelperColumns_01[[#This Row],[Start Month ANS]])),Rng_Lkp_AnswerStatus_Good,Rng_Lkp_AnswerStatus_Bad)),Rng_Lkp_AnswerStatus_Bad)</f>
        <v/>
      </c>
      <c r="J27" s="41">
        <v>9</v>
      </c>
      <c r="K27" s="40"/>
      <c r="L27" s="27" t="str">
        <f>IFERROR(IF(Tbl_B4_HelperColumns_01[[#This Row],[Start Day]]="","",IF(AND(_xlfn.ISFORMULA(Tbl_B4_HelperColumns_01[[#This Row],[Start Day]]),EXACT(Tbl_B4_HelperColumns_01[[#This Row],[Start Day]],Tbl_B4_HelperColumns_01[[#This Row],[Start Day ANS]])),Rng_Lkp_AnswerStatus_Good,Rng_Lkp_AnswerStatus_Bad)),Rng_Lkp_AnswerStatus_Bad)</f>
        <v/>
      </c>
      <c r="M27" s="41">
        <v>23</v>
      </c>
      <c r="N27" s="33"/>
      <c r="O27" s="27" t="str">
        <f>IFERROR(IF(Tbl_B4_HelperColumns_01[[#This Row],[3 Months After Start Date]]="","",IF(AND(_xlfn.ISFORMULA(Tbl_B4_HelperColumns_01[[#This Row],[3 Months After Start Date]]),EXACT(Tbl_B4_HelperColumns_01[[#This Row],[3 Months After Start Date]],Tbl_B4_HelperColumns_01[[#This Row],[3 Months After Start Date ANS]])),Rng_Lkp_AnswerStatus_Good,Rng_Lkp_AnswerStatus_Bad)),Rng_Lkp_AnswerStatus_Bad)</f>
        <v/>
      </c>
      <c r="P27" s="34">
        <v>41996</v>
      </c>
    </row>
  </sheetData>
  <conditionalFormatting sqref="B8:P27">
    <cfRule type="cellIs" dxfId="147" priority="2" operator="equal">
      <formula>Rng_Lkp_AnswerStatus_Bad</formula>
    </cfRule>
    <cfRule type="cellIs" dxfId="146" priority="3" operator="equal">
      <formula>Rng_Lkp_AnswerStatus_Good</formula>
    </cfRule>
  </conditionalFormatting>
  <conditionalFormatting sqref="B5:B6 F6 I6 L6 O6">
    <cfRule type="colorScale" priority="1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pageMargins left="0.7" right="0.7" top="0.75" bottom="0.75" header="0.3" footer="0.3"/>
  <pageSetup paperSize="121" orientation="portrait" horizontalDpi="300" verticalDpi="300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0D31C-7F81-4466-95B8-F8162BEDFBED}">
  <sheetPr>
    <tabColor theme="5"/>
  </sheetPr>
  <dimension ref="A1:Q27"/>
  <sheetViews>
    <sheetView showGridLines="0" zoomScaleNormal="100" workbookViewId="0">
      <pane xSplit="4" ySplit="7" topLeftCell="E8" activePane="bottomRight" state="frozen"/>
      <selection pane="topRight" activeCell="E1" sqref="E1"/>
      <selection pane="bottomLeft" activeCell="A7" sqref="A7"/>
      <selection pane="bottomRight" activeCell="E8" sqref="E8"/>
    </sheetView>
  </sheetViews>
  <sheetFormatPr defaultColWidth="9.140625" defaultRowHeight="15" outlineLevelRow="1" outlineLevelCol="1" x14ac:dyDescent="0.25"/>
  <cols>
    <col min="1" max="1" width="2.5703125" style="10" customWidth="1"/>
    <col min="2" max="2" width="8.140625" style="10" bestFit="1" customWidth="1"/>
    <col min="3" max="3" width="13.85546875" style="10" bestFit="1" customWidth="1"/>
    <col min="4" max="4" width="9.28515625" style="10" customWidth="1"/>
    <col min="5" max="5" width="5.7109375" style="10" customWidth="1"/>
    <col min="6" max="6" width="8.140625" style="10" bestFit="1" customWidth="1"/>
    <col min="7" max="7" width="9.42578125" style="10" hidden="1" customWidth="1" outlineLevel="1"/>
    <col min="8" max="8" width="7.85546875" style="10" bestFit="1" customWidth="1" collapsed="1"/>
    <col min="9" max="9" width="8.140625" style="10" bestFit="1" customWidth="1"/>
    <col min="10" max="10" width="9.42578125" style="10" hidden="1" customWidth="1" outlineLevel="1"/>
    <col min="11" max="11" width="5.7109375" style="10" customWidth="1" collapsed="1"/>
    <col min="12" max="12" width="8.140625" style="10" bestFit="1" customWidth="1"/>
    <col min="13" max="13" width="9.42578125" style="10" hidden="1" customWidth="1" outlineLevel="1"/>
    <col min="14" max="14" width="10.140625" style="10" bestFit="1" customWidth="1" collapsed="1"/>
    <col min="15" max="15" width="8.140625" style="10" bestFit="1" customWidth="1"/>
    <col min="16" max="16" width="10.7109375" style="10" hidden="1" customWidth="1" outlineLevel="1"/>
    <col min="17" max="17" width="9.140625" style="10" collapsed="1"/>
    <col min="18" max="16384" width="9.140625" style="10"/>
  </cols>
  <sheetData>
    <row r="1" spans="1:16" s="8" customFormat="1" ht="21" x14ac:dyDescent="0.35">
      <c r="A1" s="90" t="s">
        <v>130</v>
      </c>
      <c r="B1" s="4"/>
    </row>
    <row r="2" spans="1:16" s="8" customFormat="1" ht="18.75" x14ac:dyDescent="0.3">
      <c r="A2" s="91" t="s">
        <v>11</v>
      </c>
      <c r="B2" s="9"/>
    </row>
    <row r="3" spans="1:16" ht="6.95" customHeight="1" x14ac:dyDescent="0.25"/>
    <row r="4" spans="1:16" x14ac:dyDescent="0.25">
      <c r="D4" s="16" t="s">
        <v>137</v>
      </c>
      <c r="E4" s="30">
        <v>1</v>
      </c>
      <c r="F4" s="17"/>
      <c r="G4" s="17"/>
      <c r="H4" s="30">
        <v>2</v>
      </c>
      <c r="I4" s="17"/>
      <c r="J4" s="17"/>
      <c r="K4" s="30">
        <v>3</v>
      </c>
      <c r="L4" s="17"/>
      <c r="M4" s="17"/>
      <c r="N4" s="30">
        <v>4</v>
      </c>
      <c r="O4" s="17"/>
      <c r="P4" s="17"/>
    </row>
    <row r="5" spans="1:16" hidden="1" outlineLevel="1" x14ac:dyDescent="0.25">
      <c r="B5" s="38">
        <f>IFERROR(IF(SUMIFS(E5:P5,E4:P4,"&gt;=0")=0,"",SUMIFS(E5:P5,E4:P4,"&gt;=0")/SUMIFS(E5:P5,E6:P6,"ANSWER")),"")</f>
        <v>1</v>
      </c>
      <c r="C5" s="35" t="s">
        <v>43</v>
      </c>
      <c r="D5" s="16"/>
      <c r="E5" s="36">
        <f>IFERROR(COUNTA(Tbl_B4_HelperColumns_ANS[Start Year]),"")</f>
        <v>20</v>
      </c>
      <c r="F5" s="37">
        <f>IFERROR(COUNTIF(Tbl_B4_HelperColumns_ANS[Answer Status Q01],Rng_Lkp_AnswerStatus_Good),"")</f>
        <v>20</v>
      </c>
      <c r="G5" s="37">
        <f>IFERROR(COUNTA(Tbl_B4_HelperColumns_ANS[Start Year ANS]),"")</f>
        <v>20</v>
      </c>
      <c r="H5" s="36">
        <f>IFERROR(COUNTA(Tbl_B4_HelperColumns_ANS[Start Month]),"")</f>
        <v>20</v>
      </c>
      <c r="I5" s="37">
        <f>IFERROR(COUNTIF(Tbl_B4_HelperColumns_ANS[Answer Status Q02],Rng_Lkp_AnswerStatus_Good),"")</f>
        <v>20</v>
      </c>
      <c r="J5" s="37">
        <f>IFERROR(COUNTA(Tbl_B4_HelperColumns_ANS[Start Month ANS]),"")</f>
        <v>20</v>
      </c>
      <c r="K5" s="36">
        <f>IFERROR(COUNTA(Tbl_B4_HelperColumns_ANS[Start Day]),"")</f>
        <v>20</v>
      </c>
      <c r="L5" s="37">
        <f>IFERROR(COUNTIF(Tbl_B4_HelperColumns_ANS[Answer Status Q03],Rng_Lkp_AnswerStatus_Good),"")</f>
        <v>20</v>
      </c>
      <c r="M5" s="37">
        <f>IFERROR(COUNTA(Tbl_B4_HelperColumns_ANS[Start Day ANS]),"")</f>
        <v>20</v>
      </c>
      <c r="N5" s="36">
        <f>IFERROR(COUNTA(Tbl_B4_HelperColumns_ANS[3 Months After Start Date]),"")</f>
        <v>20</v>
      </c>
      <c r="O5" s="37">
        <f>IFERROR(COUNTIF(Tbl_B4_HelperColumns_ANS[Answer Status Q04],Rng_Lkp_AnswerStatus_Good),"")</f>
        <v>20</v>
      </c>
      <c r="P5" s="37">
        <f>IFERROR(COUNTA(Tbl_B4_HelperColumns_ANS[3 Months After Start Date ANS]),"")</f>
        <v>20</v>
      </c>
    </row>
    <row r="6" spans="1:16" collapsed="1" x14ac:dyDescent="0.25">
      <c r="B6" s="38">
        <f>IFERROR(IF(SUMIFS(E5:P5,E4:P4,"&gt;=0")=0,"",SUMIFS(E5:P5,E6:P6,"&gt;=0", E6:P6,"&lt;=1")/SUMIFS(E5:P5,E4:P4,"&gt;0")),"")</f>
        <v>1</v>
      </c>
      <c r="C6" s="35" t="s">
        <v>44</v>
      </c>
      <c r="E6" s="30" t="s">
        <v>24</v>
      </c>
      <c r="F6" s="28">
        <f>IFERROR(F5/E5,"")</f>
        <v>1</v>
      </c>
      <c r="G6" s="31" t="s">
        <v>26</v>
      </c>
      <c r="H6" s="30" t="s">
        <v>31</v>
      </c>
      <c r="I6" s="28">
        <f>IFERROR(I5/H5,"")</f>
        <v>1</v>
      </c>
      <c r="J6" s="31" t="s">
        <v>26</v>
      </c>
      <c r="K6" s="30" t="s">
        <v>36</v>
      </c>
      <c r="L6" s="28">
        <f>IFERROR(L5/K5,"")</f>
        <v>1</v>
      </c>
      <c r="M6" s="31" t="s">
        <v>26</v>
      </c>
      <c r="N6" s="30" t="s">
        <v>37</v>
      </c>
      <c r="O6" s="28">
        <f>IFERROR(O5/N5,"")</f>
        <v>1</v>
      </c>
      <c r="P6" s="31" t="s">
        <v>26</v>
      </c>
    </row>
    <row r="7" spans="1:16" ht="45" x14ac:dyDescent="0.25">
      <c r="B7" s="20" t="s">
        <v>10</v>
      </c>
      <c r="C7" s="21" t="s">
        <v>12</v>
      </c>
      <c r="D7" s="20" t="s">
        <v>138</v>
      </c>
      <c r="E7" s="29" t="s">
        <v>23</v>
      </c>
      <c r="F7" s="26" t="s">
        <v>33</v>
      </c>
      <c r="G7" s="32" t="s">
        <v>25</v>
      </c>
      <c r="H7" s="29" t="s">
        <v>30</v>
      </c>
      <c r="I7" s="26" t="s">
        <v>34</v>
      </c>
      <c r="J7" s="32" t="s">
        <v>32</v>
      </c>
      <c r="K7" s="29" t="s">
        <v>38</v>
      </c>
      <c r="L7" s="26" t="s">
        <v>35</v>
      </c>
      <c r="M7" s="32" t="s">
        <v>40</v>
      </c>
      <c r="N7" s="29" t="s">
        <v>39</v>
      </c>
      <c r="O7" s="26" t="s">
        <v>41</v>
      </c>
      <c r="P7" s="32" t="s">
        <v>42</v>
      </c>
    </row>
    <row r="8" spans="1:16" x14ac:dyDescent="0.25">
      <c r="B8" s="11">
        <v>4405</v>
      </c>
      <c r="C8" s="12" t="s">
        <v>143</v>
      </c>
      <c r="D8" s="12">
        <v>43466</v>
      </c>
      <c r="E8" s="39">
        <f>YEAR(Tbl_B4_HelperColumns_ANS[[#This Row],[Member Start Date]])</f>
        <v>2019</v>
      </c>
      <c r="F8" s="27" t="str">
        <f>IFERROR(IF(Tbl_B4_HelperColumns_ANS[[#This Row],[Start Year]]="","",IF(AND(_xlfn.ISFORMULA(Tbl_B4_HelperColumns_ANS[[#This Row],[Start Year]]),EXACT(Tbl_B4_HelperColumns_ANS[[#This Row],[Start Year]],Tbl_B4_HelperColumns_ANS[[#This Row],[Start Year ANS]])),Rng_Lkp_AnswerStatus_Good,Rng_Lkp_AnswerStatus_Bad)),Rng_Lkp_AnswerStatus_Bad)</f>
        <v>Correct</v>
      </c>
      <c r="G8" s="41">
        <v>2019</v>
      </c>
      <c r="H8" s="39">
        <f>MONTH(Tbl_B4_HelperColumns_ANS[[#This Row],[Member Start Date]])</f>
        <v>1</v>
      </c>
      <c r="I8" s="27" t="str">
        <f>IFERROR(IF(Tbl_B4_HelperColumns_ANS[[#This Row],[Start Month]]="","",IF(AND(_xlfn.ISFORMULA(Tbl_B4_HelperColumns_ANS[[#This Row],[Start Month]]),EXACT(Tbl_B4_HelperColumns_ANS[[#This Row],[Start Month]],Tbl_B4_HelperColumns_ANS[[#This Row],[Start Month ANS]])),Rng_Lkp_AnswerStatus_Good,Rng_Lkp_AnswerStatus_Bad)),Rng_Lkp_AnswerStatus_Bad)</f>
        <v>Correct</v>
      </c>
      <c r="J8" s="41">
        <v>1</v>
      </c>
      <c r="K8" s="40">
        <f>DAY(Tbl_B4_HelperColumns_ANS[[#This Row],[Member Start Date]])</f>
        <v>1</v>
      </c>
      <c r="L8" s="27" t="str">
        <f>IFERROR(IF(Tbl_B4_HelperColumns_ANS[[#This Row],[Start Day]]="","",IF(AND(_xlfn.ISFORMULA(Tbl_B4_HelperColumns_ANS[[#This Row],[Start Day]]),EXACT(Tbl_B4_HelperColumns_ANS[[#This Row],[Start Day]],Tbl_B4_HelperColumns_ANS[[#This Row],[Start Day ANS]])),Rng_Lkp_AnswerStatus_Good,Rng_Lkp_AnswerStatus_Bad)),Rng_Lkp_AnswerStatus_Bad)</f>
        <v>Correct</v>
      </c>
      <c r="M8" s="41">
        <v>1</v>
      </c>
      <c r="N8" s="33">
        <f>DATE(Tbl_B4_HelperColumns_ANS[[#This Row],[Start Year]],Tbl_B4_HelperColumns_ANS[[#This Row],[Start Month]]+3,Tbl_B4_HelperColumns_ANS[[#This Row],[Start Day]])</f>
        <v>43556</v>
      </c>
      <c r="O8" s="27" t="str">
        <f>IFERROR(IF(Tbl_B4_HelperColumns_ANS[[#This Row],[3 Months After Start Date]]="","",IF(AND(_xlfn.ISFORMULA(Tbl_B4_HelperColumns_ANS[[#This Row],[3 Months After Start Date]]),EXACT(Tbl_B4_HelperColumns_ANS[[#This Row],[3 Months After Start Date]],Tbl_B4_HelperColumns_ANS[[#This Row],[3 Months After Start Date ANS]])),Rng_Lkp_AnswerStatus_Good,Rng_Lkp_AnswerStatus_Bad)),Rng_Lkp_AnswerStatus_Bad)</f>
        <v>Correct</v>
      </c>
      <c r="P8" s="34">
        <v>43556</v>
      </c>
    </row>
    <row r="9" spans="1:16" x14ac:dyDescent="0.25">
      <c r="B9" s="11">
        <v>1030</v>
      </c>
      <c r="C9" s="12" t="s">
        <v>13</v>
      </c>
      <c r="D9" s="12">
        <v>41239</v>
      </c>
      <c r="E9" s="40">
        <f>YEAR(Tbl_B4_HelperColumns_ANS[[#This Row],[Member Start Date]])</f>
        <v>2012</v>
      </c>
      <c r="F9" s="27" t="str">
        <f>IFERROR(IF(Tbl_B4_HelperColumns_ANS[[#This Row],[Start Year]]="","",IF(AND(_xlfn.ISFORMULA(Tbl_B4_HelperColumns_ANS[[#This Row],[Start Year]]),EXACT(Tbl_B4_HelperColumns_ANS[[#This Row],[Start Year]],Tbl_B4_HelperColumns_ANS[[#This Row],[Start Year ANS]])),Rng_Lkp_AnswerStatus_Good,Rng_Lkp_AnswerStatus_Bad)),Rng_Lkp_AnswerStatus_Bad)</f>
        <v>Correct</v>
      </c>
      <c r="G9" s="41">
        <v>2012</v>
      </c>
      <c r="H9" s="40">
        <f>MONTH(Tbl_B4_HelperColumns_ANS[[#This Row],[Member Start Date]])</f>
        <v>11</v>
      </c>
      <c r="I9" s="27" t="str">
        <f>IFERROR(IF(Tbl_B4_HelperColumns_ANS[[#This Row],[Start Month]]="","",IF(AND(_xlfn.ISFORMULA(Tbl_B4_HelperColumns_ANS[[#This Row],[Start Month]]),EXACT(Tbl_B4_HelperColumns_ANS[[#This Row],[Start Month]],Tbl_B4_HelperColumns_ANS[[#This Row],[Start Month ANS]])),Rng_Lkp_AnswerStatus_Good,Rng_Lkp_AnswerStatus_Bad)),Rng_Lkp_AnswerStatus_Bad)</f>
        <v>Correct</v>
      </c>
      <c r="J9" s="41">
        <v>11</v>
      </c>
      <c r="K9" s="40">
        <f>DAY(Tbl_B4_HelperColumns_ANS[[#This Row],[Member Start Date]])</f>
        <v>26</v>
      </c>
      <c r="L9" s="27" t="str">
        <f>IFERROR(IF(Tbl_B4_HelperColumns_ANS[[#This Row],[Start Day]]="","",IF(AND(_xlfn.ISFORMULA(Tbl_B4_HelperColumns_ANS[[#This Row],[Start Day]]),EXACT(Tbl_B4_HelperColumns_ANS[[#This Row],[Start Day]],Tbl_B4_HelperColumns_ANS[[#This Row],[Start Day ANS]])),Rng_Lkp_AnswerStatus_Good,Rng_Lkp_AnswerStatus_Bad)),Rng_Lkp_AnswerStatus_Bad)</f>
        <v>Correct</v>
      </c>
      <c r="M9" s="41">
        <v>26</v>
      </c>
      <c r="N9" s="33">
        <f>DATE(Tbl_B4_HelperColumns_ANS[[#This Row],[Start Year]],Tbl_B4_HelperColumns_ANS[[#This Row],[Start Month]]+3,Tbl_B4_HelperColumns_ANS[[#This Row],[Start Day]])</f>
        <v>41331</v>
      </c>
      <c r="O9" s="27" t="str">
        <f>IFERROR(IF(Tbl_B4_HelperColumns_ANS[[#This Row],[3 Months After Start Date]]="","",IF(AND(_xlfn.ISFORMULA(Tbl_B4_HelperColumns_ANS[[#This Row],[3 Months After Start Date]]),EXACT(Tbl_B4_HelperColumns_ANS[[#This Row],[3 Months After Start Date]],Tbl_B4_HelperColumns_ANS[[#This Row],[3 Months After Start Date ANS]])),Rng_Lkp_AnswerStatus_Good,Rng_Lkp_AnswerStatus_Bad)),Rng_Lkp_AnswerStatus_Bad)</f>
        <v>Correct</v>
      </c>
      <c r="P9" s="34">
        <v>41331</v>
      </c>
    </row>
    <row r="10" spans="1:16" x14ac:dyDescent="0.25">
      <c r="B10" s="11">
        <v>1603</v>
      </c>
      <c r="C10" s="12" t="s">
        <v>142</v>
      </c>
      <c r="D10" s="12">
        <v>41269</v>
      </c>
      <c r="E10" s="40">
        <f>YEAR(Tbl_B4_HelperColumns_ANS[[#This Row],[Member Start Date]])</f>
        <v>2012</v>
      </c>
      <c r="F10" s="27" t="str">
        <f>IFERROR(IF(Tbl_B4_HelperColumns_ANS[[#This Row],[Start Year]]="","",IF(AND(_xlfn.ISFORMULA(Tbl_B4_HelperColumns_ANS[[#This Row],[Start Year]]),EXACT(Tbl_B4_HelperColumns_ANS[[#This Row],[Start Year]],Tbl_B4_HelperColumns_ANS[[#This Row],[Start Year ANS]])),Rng_Lkp_AnswerStatus_Good,Rng_Lkp_AnswerStatus_Bad)),Rng_Lkp_AnswerStatus_Bad)</f>
        <v>Correct</v>
      </c>
      <c r="G10" s="41">
        <v>2012</v>
      </c>
      <c r="H10" s="40">
        <f>MONTH(Tbl_B4_HelperColumns_ANS[[#This Row],[Member Start Date]])</f>
        <v>12</v>
      </c>
      <c r="I10" s="27" t="str">
        <f>IFERROR(IF(Tbl_B4_HelperColumns_ANS[[#This Row],[Start Month]]="","",IF(AND(_xlfn.ISFORMULA(Tbl_B4_HelperColumns_ANS[[#This Row],[Start Month]]),EXACT(Tbl_B4_HelperColumns_ANS[[#This Row],[Start Month]],Tbl_B4_HelperColumns_ANS[[#This Row],[Start Month ANS]])),Rng_Lkp_AnswerStatus_Good,Rng_Lkp_AnswerStatus_Bad)),Rng_Lkp_AnswerStatus_Bad)</f>
        <v>Correct</v>
      </c>
      <c r="J10" s="41">
        <v>12</v>
      </c>
      <c r="K10" s="40">
        <f>DAY(Tbl_B4_HelperColumns_ANS[[#This Row],[Member Start Date]])</f>
        <v>26</v>
      </c>
      <c r="L10" s="27" t="str">
        <f>IFERROR(IF(Tbl_B4_HelperColumns_ANS[[#This Row],[Start Day]]="","",IF(AND(_xlfn.ISFORMULA(Tbl_B4_HelperColumns_ANS[[#This Row],[Start Day]]),EXACT(Tbl_B4_HelperColumns_ANS[[#This Row],[Start Day]],Tbl_B4_HelperColumns_ANS[[#This Row],[Start Day ANS]])),Rng_Lkp_AnswerStatus_Good,Rng_Lkp_AnswerStatus_Bad)),Rng_Lkp_AnswerStatus_Bad)</f>
        <v>Correct</v>
      </c>
      <c r="M10" s="41">
        <v>26</v>
      </c>
      <c r="N10" s="33">
        <f>DATE(Tbl_B4_HelperColumns_ANS[[#This Row],[Start Year]],Tbl_B4_HelperColumns_ANS[[#This Row],[Start Month]]+3,Tbl_B4_HelperColumns_ANS[[#This Row],[Start Day]])</f>
        <v>41359</v>
      </c>
      <c r="O10" s="27" t="str">
        <f>IFERROR(IF(Tbl_B4_HelperColumns_ANS[[#This Row],[3 Months After Start Date]]="","",IF(AND(_xlfn.ISFORMULA(Tbl_B4_HelperColumns_ANS[[#This Row],[3 Months After Start Date]]),EXACT(Tbl_B4_HelperColumns_ANS[[#This Row],[3 Months After Start Date]],Tbl_B4_HelperColumns_ANS[[#This Row],[3 Months After Start Date ANS]])),Rng_Lkp_AnswerStatus_Good,Rng_Lkp_AnswerStatus_Bad)),Rng_Lkp_AnswerStatus_Bad)</f>
        <v>Correct</v>
      </c>
      <c r="P10" s="34">
        <v>41359</v>
      </c>
    </row>
    <row r="11" spans="1:16" x14ac:dyDescent="0.25">
      <c r="B11" s="11">
        <v>4298</v>
      </c>
      <c r="C11" s="12" t="s">
        <v>14</v>
      </c>
      <c r="D11" s="12">
        <v>42895</v>
      </c>
      <c r="E11" s="40">
        <f>YEAR(Tbl_B4_HelperColumns_ANS[[#This Row],[Member Start Date]])</f>
        <v>2017</v>
      </c>
      <c r="F11" s="27" t="str">
        <f>IFERROR(IF(Tbl_B4_HelperColumns_ANS[[#This Row],[Start Year]]="","",IF(AND(_xlfn.ISFORMULA(Tbl_B4_HelperColumns_ANS[[#This Row],[Start Year]]),EXACT(Tbl_B4_HelperColumns_ANS[[#This Row],[Start Year]],Tbl_B4_HelperColumns_ANS[[#This Row],[Start Year ANS]])),Rng_Lkp_AnswerStatus_Good,Rng_Lkp_AnswerStatus_Bad)),Rng_Lkp_AnswerStatus_Bad)</f>
        <v>Correct</v>
      </c>
      <c r="G11" s="41">
        <v>2017</v>
      </c>
      <c r="H11" s="40">
        <f>MONTH(Tbl_B4_HelperColumns_ANS[[#This Row],[Member Start Date]])</f>
        <v>6</v>
      </c>
      <c r="I11" s="27" t="str">
        <f>IFERROR(IF(Tbl_B4_HelperColumns_ANS[[#This Row],[Start Month]]="","",IF(AND(_xlfn.ISFORMULA(Tbl_B4_HelperColumns_ANS[[#This Row],[Start Month]]),EXACT(Tbl_B4_HelperColumns_ANS[[#This Row],[Start Month]],Tbl_B4_HelperColumns_ANS[[#This Row],[Start Month ANS]])),Rng_Lkp_AnswerStatus_Good,Rng_Lkp_AnswerStatus_Bad)),Rng_Lkp_AnswerStatus_Bad)</f>
        <v>Correct</v>
      </c>
      <c r="J11" s="41">
        <v>6</v>
      </c>
      <c r="K11" s="40">
        <f>DAY(Tbl_B4_HelperColumns_ANS[[#This Row],[Member Start Date]])</f>
        <v>9</v>
      </c>
      <c r="L11" s="27" t="str">
        <f>IFERROR(IF(Tbl_B4_HelperColumns_ANS[[#This Row],[Start Day]]="","",IF(AND(_xlfn.ISFORMULA(Tbl_B4_HelperColumns_ANS[[#This Row],[Start Day]]),EXACT(Tbl_B4_HelperColumns_ANS[[#This Row],[Start Day]],Tbl_B4_HelperColumns_ANS[[#This Row],[Start Day ANS]])),Rng_Lkp_AnswerStatus_Good,Rng_Lkp_AnswerStatus_Bad)),Rng_Lkp_AnswerStatus_Bad)</f>
        <v>Correct</v>
      </c>
      <c r="M11" s="41">
        <v>9</v>
      </c>
      <c r="N11" s="33">
        <f>DATE(Tbl_B4_HelperColumns_ANS[[#This Row],[Start Year]],Tbl_B4_HelperColumns_ANS[[#This Row],[Start Month]]+3,Tbl_B4_HelperColumns_ANS[[#This Row],[Start Day]])</f>
        <v>42987</v>
      </c>
      <c r="O11" s="27" t="str">
        <f>IFERROR(IF(Tbl_B4_HelperColumns_ANS[[#This Row],[3 Months After Start Date]]="","",IF(AND(_xlfn.ISFORMULA(Tbl_B4_HelperColumns_ANS[[#This Row],[3 Months After Start Date]]),EXACT(Tbl_B4_HelperColumns_ANS[[#This Row],[3 Months After Start Date]],Tbl_B4_HelperColumns_ANS[[#This Row],[3 Months After Start Date ANS]])),Rng_Lkp_AnswerStatus_Good,Rng_Lkp_AnswerStatus_Bad)),Rng_Lkp_AnswerStatus_Bad)</f>
        <v>Correct</v>
      </c>
      <c r="P11" s="34">
        <v>42987</v>
      </c>
    </row>
    <row r="12" spans="1:16" x14ac:dyDescent="0.25">
      <c r="B12" s="11">
        <v>2352</v>
      </c>
      <c r="C12" s="12" t="s">
        <v>139</v>
      </c>
      <c r="D12" s="12">
        <v>43466</v>
      </c>
      <c r="E12" s="40">
        <f>YEAR(Tbl_B4_HelperColumns_ANS[[#This Row],[Member Start Date]])</f>
        <v>2019</v>
      </c>
      <c r="F12" s="27" t="str">
        <f>IFERROR(IF(Tbl_B4_HelperColumns_ANS[[#This Row],[Start Year]]="","",IF(AND(_xlfn.ISFORMULA(Tbl_B4_HelperColumns_ANS[[#This Row],[Start Year]]),EXACT(Tbl_B4_HelperColumns_ANS[[#This Row],[Start Year]],Tbl_B4_HelperColumns_ANS[[#This Row],[Start Year ANS]])),Rng_Lkp_AnswerStatus_Good,Rng_Lkp_AnswerStatus_Bad)),Rng_Lkp_AnswerStatus_Bad)</f>
        <v>Correct</v>
      </c>
      <c r="G12" s="41">
        <v>2019</v>
      </c>
      <c r="H12" s="40">
        <f>MONTH(Tbl_B4_HelperColumns_ANS[[#This Row],[Member Start Date]])</f>
        <v>1</v>
      </c>
      <c r="I12" s="27" t="str">
        <f>IFERROR(IF(Tbl_B4_HelperColumns_ANS[[#This Row],[Start Month]]="","",IF(AND(_xlfn.ISFORMULA(Tbl_B4_HelperColumns_ANS[[#This Row],[Start Month]]),EXACT(Tbl_B4_HelperColumns_ANS[[#This Row],[Start Month]],Tbl_B4_HelperColumns_ANS[[#This Row],[Start Month ANS]])),Rng_Lkp_AnswerStatus_Good,Rng_Lkp_AnswerStatus_Bad)),Rng_Lkp_AnswerStatus_Bad)</f>
        <v>Correct</v>
      </c>
      <c r="J12" s="41">
        <v>1</v>
      </c>
      <c r="K12" s="40">
        <f>DAY(Tbl_B4_HelperColumns_ANS[[#This Row],[Member Start Date]])</f>
        <v>1</v>
      </c>
      <c r="L12" s="27" t="str">
        <f>IFERROR(IF(Tbl_B4_HelperColumns_ANS[[#This Row],[Start Day]]="","",IF(AND(_xlfn.ISFORMULA(Tbl_B4_HelperColumns_ANS[[#This Row],[Start Day]]),EXACT(Tbl_B4_HelperColumns_ANS[[#This Row],[Start Day]],Tbl_B4_HelperColumns_ANS[[#This Row],[Start Day ANS]])),Rng_Lkp_AnswerStatus_Good,Rng_Lkp_AnswerStatus_Bad)),Rng_Lkp_AnswerStatus_Bad)</f>
        <v>Correct</v>
      </c>
      <c r="M12" s="41">
        <v>1</v>
      </c>
      <c r="N12" s="33">
        <f>DATE(Tbl_B4_HelperColumns_ANS[[#This Row],[Start Year]],Tbl_B4_HelperColumns_ANS[[#This Row],[Start Month]]+3,Tbl_B4_HelperColumns_ANS[[#This Row],[Start Day]])</f>
        <v>43556</v>
      </c>
      <c r="O12" s="27" t="str">
        <f>IFERROR(IF(Tbl_B4_HelperColumns_ANS[[#This Row],[3 Months After Start Date]]="","",IF(AND(_xlfn.ISFORMULA(Tbl_B4_HelperColumns_ANS[[#This Row],[3 Months After Start Date]]),EXACT(Tbl_B4_HelperColumns_ANS[[#This Row],[3 Months After Start Date]],Tbl_B4_HelperColumns_ANS[[#This Row],[3 Months After Start Date ANS]])),Rng_Lkp_AnswerStatus_Good,Rng_Lkp_AnswerStatus_Bad)),Rng_Lkp_AnswerStatus_Bad)</f>
        <v>Correct</v>
      </c>
      <c r="P12" s="34">
        <v>43556</v>
      </c>
    </row>
    <row r="13" spans="1:16" x14ac:dyDescent="0.25">
      <c r="B13" s="11">
        <v>1049</v>
      </c>
      <c r="C13" s="12" t="s">
        <v>140</v>
      </c>
      <c r="D13" s="12">
        <v>40855</v>
      </c>
      <c r="E13" s="40">
        <f>YEAR(Tbl_B4_HelperColumns_ANS[[#This Row],[Member Start Date]])</f>
        <v>2011</v>
      </c>
      <c r="F13" s="27" t="str">
        <f>IFERROR(IF(Tbl_B4_HelperColumns_ANS[[#This Row],[Start Year]]="","",IF(AND(_xlfn.ISFORMULA(Tbl_B4_HelperColumns_ANS[[#This Row],[Start Year]]),EXACT(Tbl_B4_HelperColumns_ANS[[#This Row],[Start Year]],Tbl_B4_HelperColumns_ANS[[#This Row],[Start Year ANS]])),Rng_Lkp_AnswerStatus_Good,Rng_Lkp_AnswerStatus_Bad)),Rng_Lkp_AnswerStatus_Bad)</f>
        <v>Correct</v>
      </c>
      <c r="G13" s="41">
        <v>2011</v>
      </c>
      <c r="H13" s="40">
        <f>MONTH(Tbl_B4_HelperColumns_ANS[[#This Row],[Member Start Date]])</f>
        <v>11</v>
      </c>
      <c r="I13" s="27" t="str">
        <f>IFERROR(IF(Tbl_B4_HelperColumns_ANS[[#This Row],[Start Month]]="","",IF(AND(_xlfn.ISFORMULA(Tbl_B4_HelperColumns_ANS[[#This Row],[Start Month]]),EXACT(Tbl_B4_HelperColumns_ANS[[#This Row],[Start Month]],Tbl_B4_HelperColumns_ANS[[#This Row],[Start Month ANS]])),Rng_Lkp_AnswerStatus_Good,Rng_Lkp_AnswerStatus_Bad)),Rng_Lkp_AnswerStatus_Bad)</f>
        <v>Correct</v>
      </c>
      <c r="J13" s="41">
        <v>11</v>
      </c>
      <c r="K13" s="40">
        <f>DAY(Tbl_B4_HelperColumns_ANS[[#This Row],[Member Start Date]])</f>
        <v>8</v>
      </c>
      <c r="L13" s="27" t="str">
        <f>IFERROR(IF(Tbl_B4_HelperColumns_ANS[[#This Row],[Start Day]]="","",IF(AND(_xlfn.ISFORMULA(Tbl_B4_HelperColumns_ANS[[#This Row],[Start Day]]),EXACT(Tbl_B4_HelperColumns_ANS[[#This Row],[Start Day]],Tbl_B4_HelperColumns_ANS[[#This Row],[Start Day ANS]])),Rng_Lkp_AnswerStatus_Good,Rng_Lkp_AnswerStatus_Bad)),Rng_Lkp_AnswerStatus_Bad)</f>
        <v>Correct</v>
      </c>
      <c r="M13" s="41">
        <v>8</v>
      </c>
      <c r="N13" s="33">
        <f>DATE(Tbl_B4_HelperColumns_ANS[[#This Row],[Start Year]],Tbl_B4_HelperColumns_ANS[[#This Row],[Start Month]]+3,Tbl_B4_HelperColumns_ANS[[#This Row],[Start Day]])</f>
        <v>40947</v>
      </c>
      <c r="O13" s="27" t="str">
        <f>IFERROR(IF(Tbl_B4_HelperColumns_ANS[[#This Row],[3 Months After Start Date]]="","",IF(AND(_xlfn.ISFORMULA(Tbl_B4_HelperColumns_ANS[[#This Row],[3 Months After Start Date]]),EXACT(Tbl_B4_HelperColumns_ANS[[#This Row],[3 Months After Start Date]],Tbl_B4_HelperColumns_ANS[[#This Row],[3 Months After Start Date ANS]])),Rng_Lkp_AnswerStatus_Good,Rng_Lkp_AnswerStatus_Bad)),Rng_Lkp_AnswerStatus_Bad)</f>
        <v>Correct</v>
      </c>
      <c r="P13" s="34">
        <v>40947</v>
      </c>
    </row>
    <row r="14" spans="1:16" x14ac:dyDescent="0.25">
      <c r="B14" s="11">
        <v>2278</v>
      </c>
      <c r="C14" s="12" t="s">
        <v>141</v>
      </c>
      <c r="D14" s="12">
        <v>42166</v>
      </c>
      <c r="E14" s="40">
        <f>YEAR(Tbl_B4_HelperColumns_ANS[[#This Row],[Member Start Date]])</f>
        <v>2015</v>
      </c>
      <c r="F14" s="27" t="str">
        <f>IFERROR(IF(Tbl_B4_HelperColumns_ANS[[#This Row],[Start Year]]="","",IF(AND(_xlfn.ISFORMULA(Tbl_B4_HelperColumns_ANS[[#This Row],[Start Year]]),EXACT(Tbl_B4_HelperColumns_ANS[[#This Row],[Start Year]],Tbl_B4_HelperColumns_ANS[[#This Row],[Start Year ANS]])),Rng_Lkp_AnswerStatus_Good,Rng_Lkp_AnswerStatus_Bad)),Rng_Lkp_AnswerStatus_Bad)</f>
        <v>Correct</v>
      </c>
      <c r="G14" s="41">
        <v>2015</v>
      </c>
      <c r="H14" s="40">
        <f>MONTH(Tbl_B4_HelperColumns_ANS[[#This Row],[Member Start Date]])</f>
        <v>6</v>
      </c>
      <c r="I14" s="27" t="str">
        <f>IFERROR(IF(Tbl_B4_HelperColumns_ANS[[#This Row],[Start Month]]="","",IF(AND(_xlfn.ISFORMULA(Tbl_B4_HelperColumns_ANS[[#This Row],[Start Month]]),EXACT(Tbl_B4_HelperColumns_ANS[[#This Row],[Start Month]],Tbl_B4_HelperColumns_ANS[[#This Row],[Start Month ANS]])),Rng_Lkp_AnswerStatus_Good,Rng_Lkp_AnswerStatus_Bad)),Rng_Lkp_AnswerStatus_Bad)</f>
        <v>Correct</v>
      </c>
      <c r="J14" s="41">
        <v>6</v>
      </c>
      <c r="K14" s="40">
        <f>DAY(Tbl_B4_HelperColumns_ANS[[#This Row],[Member Start Date]])</f>
        <v>11</v>
      </c>
      <c r="L14" s="27" t="str">
        <f>IFERROR(IF(Tbl_B4_HelperColumns_ANS[[#This Row],[Start Day]]="","",IF(AND(_xlfn.ISFORMULA(Tbl_B4_HelperColumns_ANS[[#This Row],[Start Day]]),EXACT(Tbl_B4_HelperColumns_ANS[[#This Row],[Start Day]],Tbl_B4_HelperColumns_ANS[[#This Row],[Start Day ANS]])),Rng_Lkp_AnswerStatus_Good,Rng_Lkp_AnswerStatus_Bad)),Rng_Lkp_AnswerStatus_Bad)</f>
        <v>Correct</v>
      </c>
      <c r="M14" s="41">
        <v>11</v>
      </c>
      <c r="N14" s="33">
        <f>DATE(Tbl_B4_HelperColumns_ANS[[#This Row],[Start Year]],Tbl_B4_HelperColumns_ANS[[#This Row],[Start Month]]+3,Tbl_B4_HelperColumns_ANS[[#This Row],[Start Day]])</f>
        <v>42258</v>
      </c>
      <c r="O14" s="27" t="str">
        <f>IFERROR(IF(Tbl_B4_HelperColumns_ANS[[#This Row],[3 Months After Start Date]]="","",IF(AND(_xlfn.ISFORMULA(Tbl_B4_HelperColumns_ANS[[#This Row],[3 Months After Start Date]]),EXACT(Tbl_B4_HelperColumns_ANS[[#This Row],[3 Months After Start Date]],Tbl_B4_HelperColumns_ANS[[#This Row],[3 Months After Start Date ANS]])),Rng_Lkp_AnswerStatus_Good,Rng_Lkp_AnswerStatus_Bad)),Rng_Lkp_AnswerStatus_Bad)</f>
        <v>Correct</v>
      </c>
      <c r="P14" s="34">
        <v>42258</v>
      </c>
    </row>
    <row r="15" spans="1:16" x14ac:dyDescent="0.25">
      <c r="B15" s="11">
        <v>4071</v>
      </c>
      <c r="C15" s="12" t="s">
        <v>15</v>
      </c>
      <c r="D15" s="12">
        <v>43466</v>
      </c>
      <c r="E15" s="40">
        <f>YEAR(Tbl_B4_HelperColumns_ANS[[#This Row],[Member Start Date]])</f>
        <v>2019</v>
      </c>
      <c r="F15" s="27" t="str">
        <f>IFERROR(IF(Tbl_B4_HelperColumns_ANS[[#This Row],[Start Year]]="","",IF(AND(_xlfn.ISFORMULA(Tbl_B4_HelperColumns_ANS[[#This Row],[Start Year]]),EXACT(Tbl_B4_HelperColumns_ANS[[#This Row],[Start Year]],Tbl_B4_HelperColumns_ANS[[#This Row],[Start Year ANS]])),Rng_Lkp_AnswerStatus_Good,Rng_Lkp_AnswerStatus_Bad)),Rng_Lkp_AnswerStatus_Bad)</f>
        <v>Correct</v>
      </c>
      <c r="G15" s="41">
        <v>2019</v>
      </c>
      <c r="H15" s="40">
        <f>MONTH(Tbl_B4_HelperColumns_ANS[[#This Row],[Member Start Date]])</f>
        <v>1</v>
      </c>
      <c r="I15" s="27" t="str">
        <f>IFERROR(IF(Tbl_B4_HelperColumns_ANS[[#This Row],[Start Month]]="","",IF(AND(_xlfn.ISFORMULA(Tbl_B4_HelperColumns_ANS[[#This Row],[Start Month]]),EXACT(Tbl_B4_HelperColumns_ANS[[#This Row],[Start Month]],Tbl_B4_HelperColumns_ANS[[#This Row],[Start Month ANS]])),Rng_Lkp_AnswerStatus_Good,Rng_Lkp_AnswerStatus_Bad)),Rng_Lkp_AnswerStatus_Bad)</f>
        <v>Correct</v>
      </c>
      <c r="J15" s="41">
        <v>1</v>
      </c>
      <c r="K15" s="40">
        <f>DAY(Tbl_B4_HelperColumns_ANS[[#This Row],[Member Start Date]])</f>
        <v>1</v>
      </c>
      <c r="L15" s="27" t="str">
        <f>IFERROR(IF(Tbl_B4_HelperColumns_ANS[[#This Row],[Start Day]]="","",IF(AND(_xlfn.ISFORMULA(Tbl_B4_HelperColumns_ANS[[#This Row],[Start Day]]),EXACT(Tbl_B4_HelperColumns_ANS[[#This Row],[Start Day]],Tbl_B4_HelperColumns_ANS[[#This Row],[Start Day ANS]])),Rng_Lkp_AnswerStatus_Good,Rng_Lkp_AnswerStatus_Bad)),Rng_Lkp_AnswerStatus_Bad)</f>
        <v>Correct</v>
      </c>
      <c r="M15" s="41">
        <v>1</v>
      </c>
      <c r="N15" s="33">
        <f>DATE(Tbl_B4_HelperColumns_ANS[[#This Row],[Start Year]],Tbl_B4_HelperColumns_ANS[[#This Row],[Start Month]]+3,Tbl_B4_HelperColumns_ANS[[#This Row],[Start Day]])</f>
        <v>43556</v>
      </c>
      <c r="O15" s="27" t="str">
        <f>IFERROR(IF(Tbl_B4_HelperColumns_ANS[[#This Row],[3 Months After Start Date]]="","",IF(AND(_xlfn.ISFORMULA(Tbl_B4_HelperColumns_ANS[[#This Row],[3 Months After Start Date]]),EXACT(Tbl_B4_HelperColumns_ANS[[#This Row],[3 Months After Start Date]],Tbl_B4_HelperColumns_ANS[[#This Row],[3 Months After Start Date ANS]])),Rng_Lkp_AnswerStatus_Good,Rng_Lkp_AnswerStatus_Bad)),Rng_Lkp_AnswerStatus_Bad)</f>
        <v>Correct</v>
      </c>
      <c r="P15" s="34">
        <v>43556</v>
      </c>
    </row>
    <row r="16" spans="1:16" x14ac:dyDescent="0.25">
      <c r="B16" s="11">
        <v>1066</v>
      </c>
      <c r="C16" s="12" t="s">
        <v>16</v>
      </c>
      <c r="D16" s="12">
        <v>41568</v>
      </c>
      <c r="E16" s="40">
        <f>YEAR(Tbl_B4_HelperColumns_ANS[[#This Row],[Member Start Date]])</f>
        <v>2013</v>
      </c>
      <c r="F16" s="27" t="str">
        <f>IFERROR(IF(Tbl_B4_HelperColumns_ANS[[#This Row],[Start Year]]="","",IF(AND(_xlfn.ISFORMULA(Tbl_B4_HelperColumns_ANS[[#This Row],[Start Year]]),EXACT(Tbl_B4_HelperColumns_ANS[[#This Row],[Start Year]],Tbl_B4_HelperColumns_ANS[[#This Row],[Start Year ANS]])),Rng_Lkp_AnswerStatus_Good,Rng_Lkp_AnswerStatus_Bad)),Rng_Lkp_AnswerStatus_Bad)</f>
        <v>Correct</v>
      </c>
      <c r="G16" s="41">
        <v>2013</v>
      </c>
      <c r="H16" s="40">
        <f>MONTH(Tbl_B4_HelperColumns_ANS[[#This Row],[Member Start Date]])</f>
        <v>10</v>
      </c>
      <c r="I16" s="27" t="str">
        <f>IFERROR(IF(Tbl_B4_HelperColumns_ANS[[#This Row],[Start Month]]="","",IF(AND(_xlfn.ISFORMULA(Tbl_B4_HelperColumns_ANS[[#This Row],[Start Month]]),EXACT(Tbl_B4_HelperColumns_ANS[[#This Row],[Start Month]],Tbl_B4_HelperColumns_ANS[[#This Row],[Start Month ANS]])),Rng_Lkp_AnswerStatus_Good,Rng_Lkp_AnswerStatus_Bad)),Rng_Lkp_AnswerStatus_Bad)</f>
        <v>Correct</v>
      </c>
      <c r="J16" s="41">
        <v>10</v>
      </c>
      <c r="K16" s="40">
        <f>DAY(Tbl_B4_HelperColumns_ANS[[#This Row],[Member Start Date]])</f>
        <v>21</v>
      </c>
      <c r="L16" s="27" t="str">
        <f>IFERROR(IF(Tbl_B4_HelperColumns_ANS[[#This Row],[Start Day]]="","",IF(AND(_xlfn.ISFORMULA(Tbl_B4_HelperColumns_ANS[[#This Row],[Start Day]]),EXACT(Tbl_B4_HelperColumns_ANS[[#This Row],[Start Day]],Tbl_B4_HelperColumns_ANS[[#This Row],[Start Day ANS]])),Rng_Lkp_AnswerStatus_Good,Rng_Lkp_AnswerStatus_Bad)),Rng_Lkp_AnswerStatus_Bad)</f>
        <v>Correct</v>
      </c>
      <c r="M16" s="41">
        <v>21</v>
      </c>
      <c r="N16" s="33">
        <f>DATE(Tbl_B4_HelperColumns_ANS[[#This Row],[Start Year]],Tbl_B4_HelperColumns_ANS[[#This Row],[Start Month]]+3,Tbl_B4_HelperColumns_ANS[[#This Row],[Start Day]])</f>
        <v>41660</v>
      </c>
      <c r="O16" s="27" t="str">
        <f>IFERROR(IF(Tbl_B4_HelperColumns_ANS[[#This Row],[3 Months After Start Date]]="","",IF(AND(_xlfn.ISFORMULA(Tbl_B4_HelperColumns_ANS[[#This Row],[3 Months After Start Date]]),EXACT(Tbl_B4_HelperColumns_ANS[[#This Row],[3 Months After Start Date]],Tbl_B4_HelperColumns_ANS[[#This Row],[3 Months After Start Date ANS]])),Rng_Lkp_AnswerStatus_Good,Rng_Lkp_AnswerStatus_Bad)),Rng_Lkp_AnswerStatus_Bad)</f>
        <v>Correct</v>
      </c>
      <c r="P16" s="34">
        <v>41660</v>
      </c>
    </row>
    <row r="17" spans="2:16" x14ac:dyDescent="0.25">
      <c r="B17" s="11">
        <v>2316</v>
      </c>
      <c r="C17" s="12" t="s">
        <v>144</v>
      </c>
      <c r="D17" s="12">
        <v>42898</v>
      </c>
      <c r="E17" s="40">
        <f>YEAR(Tbl_B4_HelperColumns_ANS[[#This Row],[Member Start Date]])</f>
        <v>2017</v>
      </c>
      <c r="F17" s="27" t="str">
        <f>IFERROR(IF(Tbl_B4_HelperColumns_ANS[[#This Row],[Start Year]]="","",IF(AND(_xlfn.ISFORMULA(Tbl_B4_HelperColumns_ANS[[#This Row],[Start Year]]),EXACT(Tbl_B4_HelperColumns_ANS[[#This Row],[Start Year]],Tbl_B4_HelperColumns_ANS[[#This Row],[Start Year ANS]])),Rng_Lkp_AnswerStatus_Good,Rng_Lkp_AnswerStatus_Bad)),Rng_Lkp_AnswerStatus_Bad)</f>
        <v>Correct</v>
      </c>
      <c r="G17" s="41">
        <v>2017</v>
      </c>
      <c r="H17" s="40">
        <f>MONTH(Tbl_B4_HelperColumns_ANS[[#This Row],[Member Start Date]])</f>
        <v>6</v>
      </c>
      <c r="I17" s="27" t="str">
        <f>IFERROR(IF(Tbl_B4_HelperColumns_ANS[[#This Row],[Start Month]]="","",IF(AND(_xlfn.ISFORMULA(Tbl_B4_HelperColumns_ANS[[#This Row],[Start Month]]),EXACT(Tbl_B4_HelperColumns_ANS[[#This Row],[Start Month]],Tbl_B4_HelperColumns_ANS[[#This Row],[Start Month ANS]])),Rng_Lkp_AnswerStatus_Good,Rng_Lkp_AnswerStatus_Bad)),Rng_Lkp_AnswerStatus_Bad)</f>
        <v>Correct</v>
      </c>
      <c r="J17" s="41">
        <v>6</v>
      </c>
      <c r="K17" s="40">
        <f>DAY(Tbl_B4_HelperColumns_ANS[[#This Row],[Member Start Date]])</f>
        <v>12</v>
      </c>
      <c r="L17" s="27" t="str">
        <f>IFERROR(IF(Tbl_B4_HelperColumns_ANS[[#This Row],[Start Day]]="","",IF(AND(_xlfn.ISFORMULA(Tbl_B4_HelperColumns_ANS[[#This Row],[Start Day]]),EXACT(Tbl_B4_HelperColumns_ANS[[#This Row],[Start Day]],Tbl_B4_HelperColumns_ANS[[#This Row],[Start Day ANS]])),Rng_Lkp_AnswerStatus_Good,Rng_Lkp_AnswerStatus_Bad)),Rng_Lkp_AnswerStatus_Bad)</f>
        <v>Correct</v>
      </c>
      <c r="M17" s="41">
        <v>12</v>
      </c>
      <c r="N17" s="33">
        <f>DATE(Tbl_B4_HelperColumns_ANS[[#This Row],[Start Year]],Tbl_B4_HelperColumns_ANS[[#This Row],[Start Month]]+3,Tbl_B4_HelperColumns_ANS[[#This Row],[Start Day]])</f>
        <v>42990</v>
      </c>
      <c r="O17" s="27" t="str">
        <f>IFERROR(IF(Tbl_B4_HelperColumns_ANS[[#This Row],[3 Months After Start Date]]="","",IF(AND(_xlfn.ISFORMULA(Tbl_B4_HelperColumns_ANS[[#This Row],[3 Months After Start Date]]),EXACT(Tbl_B4_HelperColumns_ANS[[#This Row],[3 Months After Start Date]],Tbl_B4_HelperColumns_ANS[[#This Row],[3 Months After Start Date ANS]])),Rng_Lkp_AnswerStatus_Good,Rng_Lkp_AnswerStatus_Bad)),Rng_Lkp_AnswerStatus_Bad)</f>
        <v>Correct</v>
      </c>
      <c r="P17" s="34">
        <v>42990</v>
      </c>
    </row>
    <row r="18" spans="2:16" x14ac:dyDescent="0.25">
      <c r="B18" s="14">
        <v>3334</v>
      </c>
      <c r="C18" s="15" t="s">
        <v>17</v>
      </c>
      <c r="D18" s="15">
        <v>41121</v>
      </c>
      <c r="E18" s="40">
        <f>YEAR(Tbl_B4_HelperColumns_ANS[[#This Row],[Member Start Date]])</f>
        <v>2012</v>
      </c>
      <c r="F18" s="27" t="str">
        <f>IFERROR(IF(Tbl_B4_HelperColumns_ANS[[#This Row],[Start Year]]="","",IF(AND(_xlfn.ISFORMULA(Tbl_B4_HelperColumns_ANS[[#This Row],[Start Year]]),EXACT(Tbl_B4_HelperColumns_ANS[[#This Row],[Start Year]],Tbl_B4_HelperColumns_ANS[[#This Row],[Start Year ANS]])),Rng_Lkp_AnswerStatus_Good,Rng_Lkp_AnswerStatus_Bad)),Rng_Lkp_AnswerStatus_Bad)</f>
        <v>Correct</v>
      </c>
      <c r="G18" s="41">
        <v>2012</v>
      </c>
      <c r="H18" s="40">
        <f>MONTH(Tbl_B4_HelperColumns_ANS[[#This Row],[Member Start Date]])</f>
        <v>7</v>
      </c>
      <c r="I18" s="27" t="str">
        <f>IFERROR(IF(Tbl_B4_HelperColumns_ANS[[#This Row],[Start Month]]="","",IF(AND(_xlfn.ISFORMULA(Tbl_B4_HelperColumns_ANS[[#This Row],[Start Month]]),EXACT(Tbl_B4_HelperColumns_ANS[[#This Row],[Start Month]],Tbl_B4_HelperColumns_ANS[[#This Row],[Start Month ANS]])),Rng_Lkp_AnswerStatus_Good,Rng_Lkp_AnswerStatus_Bad)),Rng_Lkp_AnswerStatus_Bad)</f>
        <v>Correct</v>
      </c>
      <c r="J18" s="41">
        <v>7</v>
      </c>
      <c r="K18" s="40">
        <f>DAY(Tbl_B4_HelperColumns_ANS[[#This Row],[Member Start Date]])</f>
        <v>31</v>
      </c>
      <c r="L18" s="27" t="str">
        <f>IFERROR(IF(Tbl_B4_HelperColumns_ANS[[#This Row],[Start Day]]="","",IF(AND(_xlfn.ISFORMULA(Tbl_B4_HelperColumns_ANS[[#This Row],[Start Day]]),EXACT(Tbl_B4_HelperColumns_ANS[[#This Row],[Start Day]],Tbl_B4_HelperColumns_ANS[[#This Row],[Start Day ANS]])),Rng_Lkp_AnswerStatus_Good,Rng_Lkp_AnswerStatus_Bad)),Rng_Lkp_AnswerStatus_Bad)</f>
        <v>Correct</v>
      </c>
      <c r="M18" s="41">
        <v>31</v>
      </c>
      <c r="N18" s="33">
        <f>DATE(Tbl_B4_HelperColumns_ANS[[#This Row],[Start Year]],Tbl_B4_HelperColumns_ANS[[#This Row],[Start Month]]+3,Tbl_B4_HelperColumns_ANS[[#This Row],[Start Day]])</f>
        <v>41213</v>
      </c>
      <c r="O18" s="27" t="str">
        <f>IFERROR(IF(Tbl_B4_HelperColumns_ANS[[#This Row],[3 Months After Start Date]]="","",IF(AND(_xlfn.ISFORMULA(Tbl_B4_HelperColumns_ANS[[#This Row],[3 Months After Start Date]]),EXACT(Tbl_B4_HelperColumns_ANS[[#This Row],[3 Months After Start Date]],Tbl_B4_HelperColumns_ANS[[#This Row],[3 Months After Start Date ANS]])),Rng_Lkp_AnswerStatus_Good,Rng_Lkp_AnswerStatus_Bad)),Rng_Lkp_AnswerStatus_Bad)</f>
        <v>Correct</v>
      </c>
      <c r="P18" s="34">
        <v>41213</v>
      </c>
    </row>
    <row r="19" spans="2:16" x14ac:dyDescent="0.25">
      <c r="B19" s="14">
        <v>1084</v>
      </c>
      <c r="C19" s="15" t="s">
        <v>145</v>
      </c>
      <c r="D19" s="15">
        <v>41638</v>
      </c>
      <c r="E19" s="40">
        <f>YEAR(Tbl_B4_HelperColumns_ANS[[#This Row],[Member Start Date]])</f>
        <v>2013</v>
      </c>
      <c r="F19" s="27" t="str">
        <f>IFERROR(IF(Tbl_B4_HelperColumns_ANS[[#This Row],[Start Year]]="","",IF(AND(_xlfn.ISFORMULA(Tbl_B4_HelperColumns_ANS[[#This Row],[Start Year]]),EXACT(Tbl_B4_HelperColumns_ANS[[#This Row],[Start Year]],Tbl_B4_HelperColumns_ANS[[#This Row],[Start Year ANS]])),Rng_Lkp_AnswerStatus_Good,Rng_Lkp_AnswerStatus_Bad)),Rng_Lkp_AnswerStatus_Bad)</f>
        <v>Correct</v>
      </c>
      <c r="G19" s="41">
        <v>2013</v>
      </c>
      <c r="H19" s="40">
        <f>MONTH(Tbl_B4_HelperColumns_ANS[[#This Row],[Member Start Date]])</f>
        <v>12</v>
      </c>
      <c r="I19" s="27" t="str">
        <f>IFERROR(IF(Tbl_B4_HelperColumns_ANS[[#This Row],[Start Month]]="","",IF(AND(_xlfn.ISFORMULA(Tbl_B4_HelperColumns_ANS[[#This Row],[Start Month]]),EXACT(Tbl_B4_HelperColumns_ANS[[#This Row],[Start Month]],Tbl_B4_HelperColumns_ANS[[#This Row],[Start Month ANS]])),Rng_Lkp_AnswerStatus_Good,Rng_Lkp_AnswerStatus_Bad)),Rng_Lkp_AnswerStatus_Bad)</f>
        <v>Correct</v>
      </c>
      <c r="J19" s="41">
        <v>12</v>
      </c>
      <c r="K19" s="40">
        <f>DAY(Tbl_B4_HelperColumns_ANS[[#This Row],[Member Start Date]])</f>
        <v>30</v>
      </c>
      <c r="L19" s="27" t="str">
        <f>IFERROR(IF(Tbl_B4_HelperColumns_ANS[[#This Row],[Start Day]]="","",IF(AND(_xlfn.ISFORMULA(Tbl_B4_HelperColumns_ANS[[#This Row],[Start Day]]),EXACT(Tbl_B4_HelperColumns_ANS[[#This Row],[Start Day]],Tbl_B4_HelperColumns_ANS[[#This Row],[Start Day ANS]])),Rng_Lkp_AnswerStatus_Good,Rng_Lkp_AnswerStatus_Bad)),Rng_Lkp_AnswerStatus_Bad)</f>
        <v>Correct</v>
      </c>
      <c r="M19" s="41">
        <v>30</v>
      </c>
      <c r="N19" s="33">
        <f>DATE(Tbl_B4_HelperColumns_ANS[[#This Row],[Start Year]],Tbl_B4_HelperColumns_ANS[[#This Row],[Start Month]]+3,Tbl_B4_HelperColumns_ANS[[#This Row],[Start Day]])</f>
        <v>41728</v>
      </c>
      <c r="O19" s="27" t="str">
        <f>IFERROR(IF(Tbl_B4_HelperColumns_ANS[[#This Row],[3 Months After Start Date]]="","",IF(AND(_xlfn.ISFORMULA(Tbl_B4_HelperColumns_ANS[[#This Row],[3 Months After Start Date]]),EXACT(Tbl_B4_HelperColumns_ANS[[#This Row],[3 Months After Start Date]],Tbl_B4_HelperColumns_ANS[[#This Row],[3 Months After Start Date ANS]])),Rng_Lkp_AnswerStatus_Good,Rng_Lkp_AnswerStatus_Bad)),Rng_Lkp_AnswerStatus_Bad)</f>
        <v>Correct</v>
      </c>
      <c r="P19" s="34">
        <v>41728</v>
      </c>
    </row>
    <row r="20" spans="2:16" x14ac:dyDescent="0.25">
      <c r="B20" s="14">
        <v>2458</v>
      </c>
      <c r="C20" s="15" t="s">
        <v>18</v>
      </c>
      <c r="D20" s="15">
        <v>41176</v>
      </c>
      <c r="E20" s="40">
        <f>YEAR(Tbl_B4_HelperColumns_ANS[[#This Row],[Member Start Date]])</f>
        <v>2012</v>
      </c>
      <c r="F20" s="27" t="str">
        <f>IFERROR(IF(Tbl_B4_HelperColumns_ANS[[#This Row],[Start Year]]="","",IF(AND(_xlfn.ISFORMULA(Tbl_B4_HelperColumns_ANS[[#This Row],[Start Year]]),EXACT(Tbl_B4_HelperColumns_ANS[[#This Row],[Start Year]],Tbl_B4_HelperColumns_ANS[[#This Row],[Start Year ANS]])),Rng_Lkp_AnswerStatus_Good,Rng_Lkp_AnswerStatus_Bad)),Rng_Lkp_AnswerStatus_Bad)</f>
        <v>Correct</v>
      </c>
      <c r="G20" s="41">
        <v>2012</v>
      </c>
      <c r="H20" s="40">
        <f>MONTH(Tbl_B4_HelperColumns_ANS[[#This Row],[Member Start Date]])</f>
        <v>9</v>
      </c>
      <c r="I20" s="27" t="str">
        <f>IFERROR(IF(Tbl_B4_HelperColumns_ANS[[#This Row],[Start Month]]="","",IF(AND(_xlfn.ISFORMULA(Tbl_B4_HelperColumns_ANS[[#This Row],[Start Month]]),EXACT(Tbl_B4_HelperColumns_ANS[[#This Row],[Start Month]],Tbl_B4_HelperColumns_ANS[[#This Row],[Start Month ANS]])),Rng_Lkp_AnswerStatus_Good,Rng_Lkp_AnswerStatus_Bad)),Rng_Lkp_AnswerStatus_Bad)</f>
        <v>Correct</v>
      </c>
      <c r="J20" s="41">
        <v>9</v>
      </c>
      <c r="K20" s="40">
        <f>DAY(Tbl_B4_HelperColumns_ANS[[#This Row],[Member Start Date]])</f>
        <v>24</v>
      </c>
      <c r="L20" s="27" t="str">
        <f>IFERROR(IF(Tbl_B4_HelperColumns_ANS[[#This Row],[Start Day]]="","",IF(AND(_xlfn.ISFORMULA(Tbl_B4_HelperColumns_ANS[[#This Row],[Start Day]]),EXACT(Tbl_B4_HelperColumns_ANS[[#This Row],[Start Day]],Tbl_B4_HelperColumns_ANS[[#This Row],[Start Day ANS]])),Rng_Lkp_AnswerStatus_Good,Rng_Lkp_AnswerStatus_Bad)),Rng_Lkp_AnswerStatus_Bad)</f>
        <v>Correct</v>
      </c>
      <c r="M20" s="41">
        <v>24</v>
      </c>
      <c r="N20" s="33">
        <f>DATE(Tbl_B4_HelperColumns_ANS[[#This Row],[Start Year]],Tbl_B4_HelperColumns_ANS[[#This Row],[Start Month]]+3,Tbl_B4_HelperColumns_ANS[[#This Row],[Start Day]])</f>
        <v>41267</v>
      </c>
      <c r="O20" s="27" t="str">
        <f>IFERROR(IF(Tbl_B4_HelperColumns_ANS[[#This Row],[3 Months After Start Date]]="","",IF(AND(_xlfn.ISFORMULA(Tbl_B4_HelperColumns_ANS[[#This Row],[3 Months After Start Date]]),EXACT(Tbl_B4_HelperColumns_ANS[[#This Row],[3 Months After Start Date]],Tbl_B4_HelperColumns_ANS[[#This Row],[3 Months After Start Date ANS]])),Rng_Lkp_AnswerStatus_Good,Rng_Lkp_AnswerStatus_Bad)),Rng_Lkp_AnswerStatus_Bad)</f>
        <v>Correct</v>
      </c>
      <c r="P20" s="34">
        <v>41267</v>
      </c>
    </row>
    <row r="21" spans="2:16" x14ac:dyDescent="0.25">
      <c r="B21" s="14">
        <v>1495</v>
      </c>
      <c r="C21" s="15" t="s">
        <v>146</v>
      </c>
      <c r="D21" s="15">
        <v>43466</v>
      </c>
      <c r="E21" s="40">
        <f>YEAR(Tbl_B4_HelperColumns_ANS[[#This Row],[Member Start Date]])</f>
        <v>2019</v>
      </c>
      <c r="F21" s="27" t="str">
        <f>IFERROR(IF(Tbl_B4_HelperColumns_ANS[[#This Row],[Start Year]]="","",IF(AND(_xlfn.ISFORMULA(Tbl_B4_HelperColumns_ANS[[#This Row],[Start Year]]),EXACT(Tbl_B4_HelperColumns_ANS[[#This Row],[Start Year]],Tbl_B4_HelperColumns_ANS[[#This Row],[Start Year ANS]])),Rng_Lkp_AnswerStatus_Good,Rng_Lkp_AnswerStatus_Bad)),Rng_Lkp_AnswerStatus_Bad)</f>
        <v>Correct</v>
      </c>
      <c r="G21" s="41">
        <v>2019</v>
      </c>
      <c r="H21" s="40">
        <f>MONTH(Tbl_B4_HelperColumns_ANS[[#This Row],[Member Start Date]])</f>
        <v>1</v>
      </c>
      <c r="I21" s="27" t="str">
        <f>IFERROR(IF(Tbl_B4_HelperColumns_ANS[[#This Row],[Start Month]]="","",IF(AND(_xlfn.ISFORMULA(Tbl_B4_HelperColumns_ANS[[#This Row],[Start Month]]),EXACT(Tbl_B4_HelperColumns_ANS[[#This Row],[Start Month]],Tbl_B4_HelperColumns_ANS[[#This Row],[Start Month ANS]])),Rng_Lkp_AnswerStatus_Good,Rng_Lkp_AnswerStatus_Bad)),Rng_Lkp_AnswerStatus_Bad)</f>
        <v>Correct</v>
      </c>
      <c r="J21" s="41">
        <v>1</v>
      </c>
      <c r="K21" s="40">
        <f>DAY(Tbl_B4_HelperColumns_ANS[[#This Row],[Member Start Date]])</f>
        <v>1</v>
      </c>
      <c r="L21" s="27" t="str">
        <f>IFERROR(IF(Tbl_B4_HelperColumns_ANS[[#This Row],[Start Day]]="","",IF(AND(_xlfn.ISFORMULA(Tbl_B4_HelperColumns_ANS[[#This Row],[Start Day]]),EXACT(Tbl_B4_HelperColumns_ANS[[#This Row],[Start Day]],Tbl_B4_HelperColumns_ANS[[#This Row],[Start Day ANS]])),Rng_Lkp_AnswerStatus_Good,Rng_Lkp_AnswerStatus_Bad)),Rng_Lkp_AnswerStatus_Bad)</f>
        <v>Correct</v>
      </c>
      <c r="M21" s="41">
        <v>1</v>
      </c>
      <c r="N21" s="33">
        <f>DATE(Tbl_B4_HelperColumns_ANS[[#This Row],[Start Year]],Tbl_B4_HelperColumns_ANS[[#This Row],[Start Month]]+3,Tbl_B4_HelperColumns_ANS[[#This Row],[Start Day]])</f>
        <v>43556</v>
      </c>
      <c r="O21" s="27" t="str">
        <f>IFERROR(IF(Tbl_B4_HelperColumns_ANS[[#This Row],[3 Months After Start Date]]="","",IF(AND(_xlfn.ISFORMULA(Tbl_B4_HelperColumns_ANS[[#This Row],[3 Months After Start Date]]),EXACT(Tbl_B4_HelperColumns_ANS[[#This Row],[3 Months After Start Date]],Tbl_B4_HelperColumns_ANS[[#This Row],[3 Months After Start Date ANS]])),Rng_Lkp_AnswerStatus_Good,Rng_Lkp_AnswerStatus_Bad)),Rng_Lkp_AnswerStatus_Bad)</f>
        <v>Correct</v>
      </c>
      <c r="P21" s="34">
        <v>43556</v>
      </c>
    </row>
    <row r="22" spans="2:16" x14ac:dyDescent="0.25">
      <c r="B22" s="14">
        <v>1131</v>
      </c>
      <c r="C22" s="15" t="s">
        <v>19</v>
      </c>
      <c r="D22" s="15">
        <v>41120</v>
      </c>
      <c r="E22" s="40">
        <f>YEAR(Tbl_B4_HelperColumns_ANS[[#This Row],[Member Start Date]])</f>
        <v>2012</v>
      </c>
      <c r="F22" s="27" t="str">
        <f>IFERROR(IF(Tbl_B4_HelperColumns_ANS[[#This Row],[Start Year]]="","",IF(AND(_xlfn.ISFORMULA(Tbl_B4_HelperColumns_ANS[[#This Row],[Start Year]]),EXACT(Tbl_B4_HelperColumns_ANS[[#This Row],[Start Year]],Tbl_B4_HelperColumns_ANS[[#This Row],[Start Year ANS]])),Rng_Lkp_AnswerStatus_Good,Rng_Lkp_AnswerStatus_Bad)),Rng_Lkp_AnswerStatus_Bad)</f>
        <v>Correct</v>
      </c>
      <c r="G22" s="41">
        <v>2012</v>
      </c>
      <c r="H22" s="40">
        <f>MONTH(Tbl_B4_HelperColumns_ANS[[#This Row],[Member Start Date]])</f>
        <v>7</v>
      </c>
      <c r="I22" s="27" t="str">
        <f>IFERROR(IF(Tbl_B4_HelperColumns_ANS[[#This Row],[Start Month]]="","",IF(AND(_xlfn.ISFORMULA(Tbl_B4_HelperColumns_ANS[[#This Row],[Start Month]]),EXACT(Tbl_B4_HelperColumns_ANS[[#This Row],[Start Month]],Tbl_B4_HelperColumns_ANS[[#This Row],[Start Month ANS]])),Rng_Lkp_AnswerStatus_Good,Rng_Lkp_AnswerStatus_Bad)),Rng_Lkp_AnswerStatus_Bad)</f>
        <v>Correct</v>
      </c>
      <c r="J22" s="41">
        <v>7</v>
      </c>
      <c r="K22" s="40">
        <f>DAY(Tbl_B4_HelperColumns_ANS[[#This Row],[Member Start Date]])</f>
        <v>30</v>
      </c>
      <c r="L22" s="27" t="str">
        <f>IFERROR(IF(Tbl_B4_HelperColumns_ANS[[#This Row],[Start Day]]="","",IF(AND(_xlfn.ISFORMULA(Tbl_B4_HelperColumns_ANS[[#This Row],[Start Day]]),EXACT(Tbl_B4_HelperColumns_ANS[[#This Row],[Start Day]],Tbl_B4_HelperColumns_ANS[[#This Row],[Start Day ANS]])),Rng_Lkp_AnswerStatus_Good,Rng_Lkp_AnswerStatus_Bad)),Rng_Lkp_AnswerStatus_Bad)</f>
        <v>Correct</v>
      </c>
      <c r="M22" s="41">
        <v>30</v>
      </c>
      <c r="N22" s="33">
        <f>DATE(Tbl_B4_HelperColumns_ANS[[#This Row],[Start Year]],Tbl_B4_HelperColumns_ANS[[#This Row],[Start Month]]+3,Tbl_B4_HelperColumns_ANS[[#This Row],[Start Day]])</f>
        <v>41212</v>
      </c>
      <c r="O22" s="27" t="str">
        <f>IFERROR(IF(Tbl_B4_HelperColumns_ANS[[#This Row],[3 Months After Start Date]]="","",IF(AND(_xlfn.ISFORMULA(Tbl_B4_HelperColumns_ANS[[#This Row],[3 Months After Start Date]]),EXACT(Tbl_B4_HelperColumns_ANS[[#This Row],[3 Months After Start Date]],Tbl_B4_HelperColumns_ANS[[#This Row],[3 Months After Start Date ANS]])),Rng_Lkp_AnswerStatus_Good,Rng_Lkp_AnswerStatus_Bad)),Rng_Lkp_AnswerStatus_Bad)</f>
        <v>Correct</v>
      </c>
      <c r="P22" s="34">
        <v>41212</v>
      </c>
    </row>
    <row r="23" spans="2:16" x14ac:dyDescent="0.25">
      <c r="B23" s="14">
        <v>2314</v>
      </c>
      <c r="C23" s="15" t="s">
        <v>147</v>
      </c>
      <c r="D23" s="15">
        <v>42054</v>
      </c>
      <c r="E23" s="40">
        <f>YEAR(Tbl_B4_HelperColumns_ANS[[#This Row],[Member Start Date]])</f>
        <v>2015</v>
      </c>
      <c r="F23" s="27" t="str">
        <f>IFERROR(IF(Tbl_B4_HelperColumns_ANS[[#This Row],[Start Year]]="","",IF(AND(_xlfn.ISFORMULA(Tbl_B4_HelperColumns_ANS[[#This Row],[Start Year]]),EXACT(Tbl_B4_HelperColumns_ANS[[#This Row],[Start Year]],Tbl_B4_HelperColumns_ANS[[#This Row],[Start Year ANS]])),Rng_Lkp_AnswerStatus_Good,Rng_Lkp_AnswerStatus_Bad)),Rng_Lkp_AnswerStatus_Bad)</f>
        <v>Correct</v>
      </c>
      <c r="G23" s="41">
        <v>2015</v>
      </c>
      <c r="H23" s="40">
        <f>MONTH(Tbl_B4_HelperColumns_ANS[[#This Row],[Member Start Date]])</f>
        <v>2</v>
      </c>
      <c r="I23" s="27" t="str">
        <f>IFERROR(IF(Tbl_B4_HelperColumns_ANS[[#This Row],[Start Month]]="","",IF(AND(_xlfn.ISFORMULA(Tbl_B4_HelperColumns_ANS[[#This Row],[Start Month]]),EXACT(Tbl_B4_HelperColumns_ANS[[#This Row],[Start Month]],Tbl_B4_HelperColumns_ANS[[#This Row],[Start Month ANS]])),Rng_Lkp_AnswerStatus_Good,Rng_Lkp_AnswerStatus_Bad)),Rng_Lkp_AnswerStatus_Bad)</f>
        <v>Correct</v>
      </c>
      <c r="J23" s="41">
        <v>2</v>
      </c>
      <c r="K23" s="40">
        <f>DAY(Tbl_B4_HelperColumns_ANS[[#This Row],[Member Start Date]])</f>
        <v>19</v>
      </c>
      <c r="L23" s="27" t="str">
        <f>IFERROR(IF(Tbl_B4_HelperColumns_ANS[[#This Row],[Start Day]]="","",IF(AND(_xlfn.ISFORMULA(Tbl_B4_HelperColumns_ANS[[#This Row],[Start Day]]),EXACT(Tbl_B4_HelperColumns_ANS[[#This Row],[Start Day]],Tbl_B4_HelperColumns_ANS[[#This Row],[Start Day ANS]])),Rng_Lkp_AnswerStatus_Good,Rng_Lkp_AnswerStatus_Bad)),Rng_Lkp_AnswerStatus_Bad)</f>
        <v>Correct</v>
      </c>
      <c r="M23" s="41">
        <v>19</v>
      </c>
      <c r="N23" s="33">
        <f>DATE(Tbl_B4_HelperColumns_ANS[[#This Row],[Start Year]],Tbl_B4_HelperColumns_ANS[[#This Row],[Start Month]]+3,Tbl_B4_HelperColumns_ANS[[#This Row],[Start Day]])</f>
        <v>42143</v>
      </c>
      <c r="O23" s="27" t="str">
        <f>IFERROR(IF(Tbl_B4_HelperColumns_ANS[[#This Row],[3 Months After Start Date]]="","",IF(AND(_xlfn.ISFORMULA(Tbl_B4_HelperColumns_ANS[[#This Row],[3 Months After Start Date]]),EXACT(Tbl_B4_HelperColumns_ANS[[#This Row],[3 Months After Start Date]],Tbl_B4_HelperColumns_ANS[[#This Row],[3 Months After Start Date ANS]])),Rng_Lkp_AnswerStatus_Good,Rng_Lkp_AnswerStatus_Bad)),Rng_Lkp_AnswerStatus_Bad)</f>
        <v>Correct</v>
      </c>
      <c r="P23" s="34">
        <v>42143</v>
      </c>
    </row>
    <row r="24" spans="2:16" x14ac:dyDescent="0.25">
      <c r="B24" s="14">
        <v>2304</v>
      </c>
      <c r="C24" s="15" t="s">
        <v>20</v>
      </c>
      <c r="D24" s="15">
        <v>43025</v>
      </c>
      <c r="E24" s="40">
        <f>YEAR(Tbl_B4_HelperColumns_ANS[[#This Row],[Member Start Date]])</f>
        <v>2017</v>
      </c>
      <c r="F24" s="27" t="str">
        <f>IFERROR(IF(Tbl_B4_HelperColumns_ANS[[#This Row],[Start Year]]="","",IF(AND(_xlfn.ISFORMULA(Tbl_B4_HelperColumns_ANS[[#This Row],[Start Year]]),EXACT(Tbl_B4_HelperColumns_ANS[[#This Row],[Start Year]],Tbl_B4_HelperColumns_ANS[[#This Row],[Start Year ANS]])),Rng_Lkp_AnswerStatus_Good,Rng_Lkp_AnswerStatus_Bad)),Rng_Lkp_AnswerStatus_Bad)</f>
        <v>Correct</v>
      </c>
      <c r="G24" s="41">
        <v>2017</v>
      </c>
      <c r="H24" s="40">
        <f>MONTH(Tbl_B4_HelperColumns_ANS[[#This Row],[Member Start Date]])</f>
        <v>10</v>
      </c>
      <c r="I24" s="27" t="str">
        <f>IFERROR(IF(Tbl_B4_HelperColumns_ANS[[#This Row],[Start Month]]="","",IF(AND(_xlfn.ISFORMULA(Tbl_B4_HelperColumns_ANS[[#This Row],[Start Month]]),EXACT(Tbl_B4_HelperColumns_ANS[[#This Row],[Start Month]],Tbl_B4_HelperColumns_ANS[[#This Row],[Start Month ANS]])),Rng_Lkp_AnswerStatus_Good,Rng_Lkp_AnswerStatus_Bad)),Rng_Lkp_AnswerStatus_Bad)</f>
        <v>Correct</v>
      </c>
      <c r="J24" s="41">
        <v>10</v>
      </c>
      <c r="K24" s="40">
        <f>DAY(Tbl_B4_HelperColumns_ANS[[#This Row],[Member Start Date]])</f>
        <v>17</v>
      </c>
      <c r="L24" s="27" t="str">
        <f>IFERROR(IF(Tbl_B4_HelperColumns_ANS[[#This Row],[Start Day]]="","",IF(AND(_xlfn.ISFORMULA(Tbl_B4_HelperColumns_ANS[[#This Row],[Start Day]]),EXACT(Tbl_B4_HelperColumns_ANS[[#This Row],[Start Day]],Tbl_B4_HelperColumns_ANS[[#This Row],[Start Day ANS]])),Rng_Lkp_AnswerStatus_Good,Rng_Lkp_AnswerStatus_Bad)),Rng_Lkp_AnswerStatus_Bad)</f>
        <v>Correct</v>
      </c>
      <c r="M24" s="41">
        <v>17</v>
      </c>
      <c r="N24" s="33">
        <f>DATE(Tbl_B4_HelperColumns_ANS[[#This Row],[Start Year]],Tbl_B4_HelperColumns_ANS[[#This Row],[Start Month]]+3,Tbl_B4_HelperColumns_ANS[[#This Row],[Start Day]])</f>
        <v>43117</v>
      </c>
      <c r="O24" s="27" t="str">
        <f>IFERROR(IF(Tbl_B4_HelperColumns_ANS[[#This Row],[3 Months After Start Date]]="","",IF(AND(_xlfn.ISFORMULA(Tbl_B4_HelperColumns_ANS[[#This Row],[3 Months After Start Date]]),EXACT(Tbl_B4_HelperColumns_ANS[[#This Row],[3 Months After Start Date]],Tbl_B4_HelperColumns_ANS[[#This Row],[3 Months After Start Date ANS]])),Rng_Lkp_AnswerStatus_Good,Rng_Lkp_AnswerStatus_Bad)),Rng_Lkp_AnswerStatus_Bad)</f>
        <v>Correct</v>
      </c>
      <c r="P24" s="34">
        <v>43117</v>
      </c>
    </row>
    <row r="25" spans="2:16" x14ac:dyDescent="0.25">
      <c r="B25" s="14">
        <v>3694</v>
      </c>
      <c r="C25" s="15" t="s">
        <v>21</v>
      </c>
      <c r="D25" s="15">
        <v>43466</v>
      </c>
      <c r="E25" s="40">
        <f>YEAR(Tbl_B4_HelperColumns_ANS[[#This Row],[Member Start Date]])</f>
        <v>2019</v>
      </c>
      <c r="F25" s="27" t="str">
        <f>IFERROR(IF(Tbl_B4_HelperColumns_ANS[[#This Row],[Start Year]]="","",IF(AND(_xlfn.ISFORMULA(Tbl_B4_HelperColumns_ANS[[#This Row],[Start Year]]),EXACT(Tbl_B4_HelperColumns_ANS[[#This Row],[Start Year]],Tbl_B4_HelperColumns_ANS[[#This Row],[Start Year ANS]])),Rng_Lkp_AnswerStatus_Good,Rng_Lkp_AnswerStatus_Bad)),Rng_Lkp_AnswerStatus_Bad)</f>
        <v>Correct</v>
      </c>
      <c r="G25" s="41">
        <v>2019</v>
      </c>
      <c r="H25" s="40">
        <f>MONTH(Tbl_B4_HelperColumns_ANS[[#This Row],[Member Start Date]])</f>
        <v>1</v>
      </c>
      <c r="I25" s="27" t="str">
        <f>IFERROR(IF(Tbl_B4_HelperColumns_ANS[[#This Row],[Start Month]]="","",IF(AND(_xlfn.ISFORMULA(Tbl_B4_HelperColumns_ANS[[#This Row],[Start Month]]),EXACT(Tbl_B4_HelperColumns_ANS[[#This Row],[Start Month]],Tbl_B4_HelperColumns_ANS[[#This Row],[Start Month ANS]])),Rng_Lkp_AnswerStatus_Good,Rng_Lkp_AnswerStatus_Bad)),Rng_Lkp_AnswerStatus_Bad)</f>
        <v>Correct</v>
      </c>
      <c r="J25" s="41">
        <v>1</v>
      </c>
      <c r="K25" s="40">
        <f>DAY(Tbl_B4_HelperColumns_ANS[[#This Row],[Member Start Date]])</f>
        <v>1</v>
      </c>
      <c r="L25" s="27" t="str">
        <f>IFERROR(IF(Tbl_B4_HelperColumns_ANS[[#This Row],[Start Day]]="","",IF(AND(_xlfn.ISFORMULA(Tbl_B4_HelperColumns_ANS[[#This Row],[Start Day]]),EXACT(Tbl_B4_HelperColumns_ANS[[#This Row],[Start Day]],Tbl_B4_HelperColumns_ANS[[#This Row],[Start Day ANS]])),Rng_Lkp_AnswerStatus_Good,Rng_Lkp_AnswerStatus_Bad)),Rng_Lkp_AnswerStatus_Bad)</f>
        <v>Correct</v>
      </c>
      <c r="M25" s="41">
        <v>1</v>
      </c>
      <c r="N25" s="33">
        <f>DATE(Tbl_B4_HelperColumns_ANS[[#This Row],[Start Year]],Tbl_B4_HelperColumns_ANS[[#This Row],[Start Month]]+3,Tbl_B4_HelperColumns_ANS[[#This Row],[Start Day]])</f>
        <v>43556</v>
      </c>
      <c r="O25" s="27" t="str">
        <f>IFERROR(IF(Tbl_B4_HelperColumns_ANS[[#This Row],[3 Months After Start Date]]="","",IF(AND(_xlfn.ISFORMULA(Tbl_B4_HelperColumns_ANS[[#This Row],[3 Months After Start Date]]),EXACT(Tbl_B4_HelperColumns_ANS[[#This Row],[3 Months After Start Date]],Tbl_B4_HelperColumns_ANS[[#This Row],[3 Months After Start Date ANS]])),Rng_Lkp_AnswerStatus_Good,Rng_Lkp_AnswerStatus_Bad)),Rng_Lkp_AnswerStatus_Bad)</f>
        <v>Correct</v>
      </c>
      <c r="P25" s="34">
        <v>43556</v>
      </c>
    </row>
    <row r="26" spans="2:16" x14ac:dyDescent="0.25">
      <c r="B26" s="14">
        <v>4522</v>
      </c>
      <c r="C26" s="15" t="s">
        <v>22</v>
      </c>
      <c r="D26" s="15">
        <v>43466</v>
      </c>
      <c r="E26" s="40">
        <f>YEAR(Tbl_B4_HelperColumns_ANS[[#This Row],[Member Start Date]])</f>
        <v>2019</v>
      </c>
      <c r="F26" s="27" t="str">
        <f>IFERROR(IF(Tbl_B4_HelperColumns_ANS[[#This Row],[Start Year]]="","",IF(AND(_xlfn.ISFORMULA(Tbl_B4_HelperColumns_ANS[[#This Row],[Start Year]]),EXACT(Tbl_B4_HelperColumns_ANS[[#This Row],[Start Year]],Tbl_B4_HelperColumns_ANS[[#This Row],[Start Year ANS]])),Rng_Lkp_AnswerStatus_Good,Rng_Lkp_AnswerStatus_Bad)),Rng_Lkp_AnswerStatus_Bad)</f>
        <v>Correct</v>
      </c>
      <c r="G26" s="41">
        <v>2019</v>
      </c>
      <c r="H26" s="40">
        <f>MONTH(Tbl_B4_HelperColumns_ANS[[#This Row],[Member Start Date]])</f>
        <v>1</v>
      </c>
      <c r="I26" s="27" t="str">
        <f>IFERROR(IF(Tbl_B4_HelperColumns_ANS[[#This Row],[Start Month]]="","",IF(AND(_xlfn.ISFORMULA(Tbl_B4_HelperColumns_ANS[[#This Row],[Start Month]]),EXACT(Tbl_B4_HelperColumns_ANS[[#This Row],[Start Month]],Tbl_B4_HelperColumns_ANS[[#This Row],[Start Month ANS]])),Rng_Lkp_AnswerStatus_Good,Rng_Lkp_AnswerStatus_Bad)),Rng_Lkp_AnswerStatus_Bad)</f>
        <v>Correct</v>
      </c>
      <c r="J26" s="41">
        <v>1</v>
      </c>
      <c r="K26" s="40">
        <f>DAY(Tbl_B4_HelperColumns_ANS[[#This Row],[Member Start Date]])</f>
        <v>1</v>
      </c>
      <c r="L26" s="27" t="str">
        <f>IFERROR(IF(Tbl_B4_HelperColumns_ANS[[#This Row],[Start Day]]="","",IF(AND(_xlfn.ISFORMULA(Tbl_B4_HelperColumns_ANS[[#This Row],[Start Day]]),EXACT(Tbl_B4_HelperColumns_ANS[[#This Row],[Start Day]],Tbl_B4_HelperColumns_ANS[[#This Row],[Start Day ANS]])),Rng_Lkp_AnswerStatus_Good,Rng_Lkp_AnswerStatus_Bad)),Rng_Lkp_AnswerStatus_Bad)</f>
        <v>Correct</v>
      </c>
      <c r="M26" s="41">
        <v>1</v>
      </c>
      <c r="N26" s="33">
        <f>DATE(Tbl_B4_HelperColumns_ANS[[#This Row],[Start Year]],Tbl_B4_HelperColumns_ANS[[#This Row],[Start Month]]+3,Tbl_B4_HelperColumns_ANS[[#This Row],[Start Day]])</f>
        <v>43556</v>
      </c>
      <c r="O26" s="27" t="str">
        <f>IFERROR(IF(Tbl_B4_HelperColumns_ANS[[#This Row],[3 Months After Start Date]]="","",IF(AND(_xlfn.ISFORMULA(Tbl_B4_HelperColumns_ANS[[#This Row],[3 Months After Start Date]]),EXACT(Tbl_B4_HelperColumns_ANS[[#This Row],[3 Months After Start Date]],Tbl_B4_HelperColumns_ANS[[#This Row],[3 Months After Start Date ANS]])),Rng_Lkp_AnswerStatus_Good,Rng_Lkp_AnswerStatus_Bad)),Rng_Lkp_AnswerStatus_Bad)</f>
        <v>Correct</v>
      </c>
      <c r="P26" s="34">
        <v>43556</v>
      </c>
    </row>
    <row r="27" spans="2:16" x14ac:dyDescent="0.25">
      <c r="B27" s="14">
        <v>1198</v>
      </c>
      <c r="C27" s="15" t="s">
        <v>148</v>
      </c>
      <c r="D27" s="15">
        <v>41905</v>
      </c>
      <c r="E27" s="40">
        <f>YEAR(Tbl_B4_HelperColumns_ANS[[#This Row],[Member Start Date]])</f>
        <v>2014</v>
      </c>
      <c r="F27" s="27" t="str">
        <f>IFERROR(IF(Tbl_B4_HelperColumns_ANS[[#This Row],[Start Year]]="","",IF(AND(_xlfn.ISFORMULA(Tbl_B4_HelperColumns_ANS[[#This Row],[Start Year]]),EXACT(Tbl_B4_HelperColumns_ANS[[#This Row],[Start Year]],Tbl_B4_HelperColumns_ANS[[#This Row],[Start Year ANS]])),Rng_Lkp_AnswerStatus_Good,Rng_Lkp_AnswerStatus_Bad)),Rng_Lkp_AnswerStatus_Bad)</f>
        <v>Correct</v>
      </c>
      <c r="G27" s="41">
        <v>2014</v>
      </c>
      <c r="H27" s="40">
        <f>MONTH(Tbl_B4_HelperColumns_ANS[[#This Row],[Member Start Date]])</f>
        <v>9</v>
      </c>
      <c r="I27" s="27" t="str">
        <f>IFERROR(IF(Tbl_B4_HelperColumns_ANS[[#This Row],[Start Month]]="","",IF(AND(_xlfn.ISFORMULA(Tbl_B4_HelperColumns_ANS[[#This Row],[Start Month]]),EXACT(Tbl_B4_HelperColumns_ANS[[#This Row],[Start Month]],Tbl_B4_HelperColumns_ANS[[#This Row],[Start Month ANS]])),Rng_Lkp_AnswerStatus_Good,Rng_Lkp_AnswerStatus_Bad)),Rng_Lkp_AnswerStatus_Bad)</f>
        <v>Correct</v>
      </c>
      <c r="J27" s="41">
        <v>9</v>
      </c>
      <c r="K27" s="40">
        <f>DAY(Tbl_B4_HelperColumns_ANS[[#This Row],[Member Start Date]])</f>
        <v>23</v>
      </c>
      <c r="L27" s="27" t="str">
        <f>IFERROR(IF(Tbl_B4_HelperColumns_ANS[[#This Row],[Start Day]]="","",IF(AND(_xlfn.ISFORMULA(Tbl_B4_HelperColumns_ANS[[#This Row],[Start Day]]),EXACT(Tbl_B4_HelperColumns_ANS[[#This Row],[Start Day]],Tbl_B4_HelperColumns_ANS[[#This Row],[Start Day ANS]])),Rng_Lkp_AnswerStatus_Good,Rng_Lkp_AnswerStatus_Bad)),Rng_Lkp_AnswerStatus_Bad)</f>
        <v>Correct</v>
      </c>
      <c r="M27" s="41">
        <v>23</v>
      </c>
      <c r="N27" s="33">
        <f>DATE(Tbl_B4_HelperColumns_ANS[[#This Row],[Start Year]],Tbl_B4_HelperColumns_ANS[[#This Row],[Start Month]]+3,Tbl_B4_HelperColumns_ANS[[#This Row],[Start Day]])</f>
        <v>41996</v>
      </c>
      <c r="O27" s="27" t="str">
        <f>IFERROR(IF(Tbl_B4_HelperColumns_ANS[[#This Row],[3 Months After Start Date]]="","",IF(AND(_xlfn.ISFORMULA(Tbl_B4_HelperColumns_ANS[[#This Row],[3 Months After Start Date]]),EXACT(Tbl_B4_HelperColumns_ANS[[#This Row],[3 Months After Start Date]],Tbl_B4_HelperColumns_ANS[[#This Row],[3 Months After Start Date ANS]])),Rng_Lkp_AnswerStatus_Good,Rng_Lkp_AnswerStatus_Bad)),Rng_Lkp_AnswerStatus_Bad)</f>
        <v>Correct</v>
      </c>
      <c r="P27" s="34">
        <v>41996</v>
      </c>
    </row>
  </sheetData>
  <conditionalFormatting sqref="B8:P27">
    <cfRule type="cellIs" dxfId="114" priority="2" operator="equal">
      <formula>Rng_Lkp_AnswerStatus_Bad</formula>
    </cfRule>
    <cfRule type="cellIs" dxfId="113" priority="3" operator="equal">
      <formula>Rng_Lkp_AnswerStatus_Good</formula>
    </cfRule>
  </conditionalFormatting>
  <conditionalFormatting sqref="B5:B6 F6 I6 L6 O6">
    <cfRule type="colorScale" priority="1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pageMargins left="0.7" right="0.7" top="0.75" bottom="0.75" header="0.3" footer="0.3"/>
  <pageSetup paperSize="121" orientation="portrait" horizontalDpi="300" verticalDpi="300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3E14A-1956-4835-849D-BD2C977A206F}">
  <sheetPr>
    <tabColor theme="9"/>
  </sheetPr>
  <dimension ref="A1:AC27"/>
  <sheetViews>
    <sheetView showGridLines="0" zoomScaleNormal="100" workbookViewId="0">
      <pane xSplit="5" ySplit="7" topLeftCell="F8" activePane="bottomRight" state="frozen"/>
      <selection pane="topRight" activeCell="G1" sqref="G1"/>
      <selection pane="bottomLeft" activeCell="A8" sqref="A8"/>
      <selection pane="bottomRight" activeCell="F8" sqref="F8"/>
    </sheetView>
  </sheetViews>
  <sheetFormatPr defaultColWidth="9.140625" defaultRowHeight="15" outlineLevelRow="1" outlineLevelCol="1" x14ac:dyDescent="0.25"/>
  <cols>
    <col min="1" max="1" width="2.5703125" style="10" customWidth="1"/>
    <col min="2" max="2" width="8.140625" style="10" bestFit="1" customWidth="1"/>
    <col min="3" max="3" width="13.85546875" style="10" bestFit="1" customWidth="1"/>
    <col min="4" max="4" width="5.5703125" style="10" bestFit="1" customWidth="1"/>
    <col min="5" max="5" width="9.28515625" style="10" customWidth="1"/>
    <col min="6" max="6" width="9.42578125" style="10" bestFit="1" customWidth="1"/>
    <col min="7" max="7" width="8.42578125" style="10" bestFit="1" customWidth="1"/>
    <col min="8" max="8" width="13" style="10" hidden="1" customWidth="1" outlineLevel="1"/>
    <col min="9" max="9" width="10" style="10" bestFit="1" customWidth="1" collapsed="1"/>
    <col min="10" max="10" width="8.140625" style="10" bestFit="1" customWidth="1"/>
    <col min="11" max="11" width="12.28515625" style="10" hidden="1" customWidth="1" outlineLevel="1"/>
    <col min="12" max="12" width="6.28515625" style="10" customWidth="1" collapsed="1"/>
    <col min="13" max="13" width="8.140625" style="10" bestFit="1" customWidth="1"/>
    <col min="14" max="14" width="9.7109375" style="10" hidden="1" customWidth="1" outlineLevel="1"/>
    <col min="15" max="15" width="9.5703125" style="10" bestFit="1" customWidth="1" collapsed="1"/>
    <col min="16" max="16" width="8.140625" style="10" bestFit="1" customWidth="1"/>
    <col min="17" max="17" width="10.28515625" style="10" hidden="1" customWidth="1" outlineLevel="1"/>
    <col min="18" max="18" width="17.28515625" style="10" bestFit="1" customWidth="1" collapsed="1"/>
    <col min="19" max="19" width="9.140625" style="10"/>
    <col min="20" max="20" width="18" style="10" hidden="1" customWidth="1" outlineLevel="1"/>
    <col min="21" max="21" width="18.140625" style="10" bestFit="1" customWidth="1" collapsed="1"/>
    <col min="22" max="22" width="9.140625" style="10"/>
    <col min="23" max="23" width="18.85546875" style="10" hidden="1" customWidth="1" outlineLevel="1"/>
    <col min="24" max="24" width="18.140625" style="10" bestFit="1" customWidth="1" collapsed="1"/>
    <col min="25" max="25" width="9.140625" style="10"/>
    <col min="26" max="26" width="18.85546875" style="10" bestFit="1" customWidth="1"/>
    <col min="27" max="27" width="26.28515625" style="10" bestFit="1" customWidth="1"/>
    <col min="28" max="28" width="9.140625" style="10"/>
    <col min="29" max="29" width="27" style="10" bestFit="1" customWidth="1"/>
    <col min="30" max="16384" width="9.140625" style="10"/>
  </cols>
  <sheetData>
    <row r="1" spans="1:29" s="8" customFormat="1" ht="21" x14ac:dyDescent="0.35">
      <c r="A1" s="98" t="s">
        <v>129</v>
      </c>
      <c r="B1" s="4"/>
      <c r="C1" s="4"/>
    </row>
    <row r="2" spans="1:29" s="8" customFormat="1" ht="18.75" x14ac:dyDescent="0.3">
      <c r="A2" s="99" t="s">
        <v>11</v>
      </c>
      <c r="B2" s="9"/>
      <c r="C2" s="9"/>
    </row>
    <row r="3" spans="1:29" ht="6.95" customHeight="1" x14ac:dyDescent="0.25"/>
    <row r="4" spans="1:29" x14ac:dyDescent="0.25">
      <c r="E4" s="16" t="s">
        <v>137</v>
      </c>
      <c r="F4" s="30">
        <v>1</v>
      </c>
      <c r="G4" s="92"/>
      <c r="H4" s="92"/>
      <c r="I4" s="30">
        <v>2</v>
      </c>
      <c r="J4" s="92"/>
      <c r="K4" s="92"/>
      <c r="L4" s="30">
        <v>3</v>
      </c>
      <c r="M4" s="92"/>
      <c r="N4" s="92"/>
      <c r="O4" s="30">
        <v>4</v>
      </c>
      <c r="P4" s="92"/>
      <c r="Q4" s="92"/>
      <c r="R4" s="30">
        <v>5</v>
      </c>
      <c r="S4" s="92"/>
      <c r="T4" s="92"/>
      <c r="U4" s="30">
        <v>6</v>
      </c>
      <c r="V4" s="92"/>
      <c r="W4" s="92"/>
      <c r="X4" s="30">
        <v>7</v>
      </c>
      <c r="Y4" s="92"/>
      <c r="Z4" s="92"/>
      <c r="AA4" s="30">
        <v>8</v>
      </c>
      <c r="AB4" s="92"/>
      <c r="AC4" s="92"/>
    </row>
    <row r="5" spans="1:29" hidden="1" outlineLevel="1" x14ac:dyDescent="0.25">
      <c r="B5" s="38" t="str">
        <f>IFERROR(IF(SUMIFS(F5:AC5,F4:AC4,"&gt;=0")=0,"",SUMIFS(F5:AC5,F4:AC4,"&gt;=0")/SUMIFS(F5:AC5,F6:AC6,"ANSWER")),"")</f>
        <v/>
      </c>
      <c r="C5" s="97" t="s">
        <v>43</v>
      </c>
      <c r="F5" s="36">
        <f>IFERROR(COUNTA(Tbl_B5_Help_01[Start Weekday ("DDD")]),"")</f>
        <v>0</v>
      </c>
      <c r="G5" s="37">
        <f>IFERROR(COUNTIF(Tbl_B5_Help_01[Answer Status Q01],Rng_Lkp_AnswerStatus_Good),"")</f>
        <v>0</v>
      </c>
      <c r="H5" s="37">
        <f>IFERROR(COUNTA(Tbl_B5_Help_01[Start Weekday ("DDD") ANS]),"")</f>
        <v>20</v>
      </c>
      <c r="I5" s="36">
        <f>IFERROR(COUNTA(Tbl_B5_Help_01[Start Month ("MMM")]),"")</f>
        <v>0</v>
      </c>
      <c r="J5" s="37">
        <f>IFERROR(COUNTIF(Tbl_B5_Help_01[Answer Status Q02],Rng_Lkp_AnswerStatus_Good),"")</f>
        <v>0</v>
      </c>
      <c r="K5" s="37">
        <f>IFERROR(COUNTA(Tbl_B5_Help_01[Start Month ("MMM") ANS]),"")</f>
        <v>20</v>
      </c>
      <c r="L5" s="36">
        <f>IFERROR(COUNTA(Tbl_B5_Help_01[Start Day ("D")]),"")</f>
        <v>0</v>
      </c>
      <c r="M5" s="37">
        <f>IFERROR(COUNTIF(Tbl_B5_Help_01[Answer Status Q03],Rng_Lkp_AnswerStatus_Good),"")</f>
        <v>0</v>
      </c>
      <c r="N5" s="37">
        <f>IFERROR(COUNTA(Tbl_B5_Help_01[Start Day ("D") ANS]),"")</f>
        <v>20</v>
      </c>
      <c r="O5" s="36">
        <f>IFERROR(COUNTA(Tbl_B5_Help_01[Start Year ("YYYY")]),"")</f>
        <v>0</v>
      </c>
      <c r="P5" s="37">
        <f>IFERROR(COUNTIF(Tbl_B5_Help_01[Answer Status Q04],Rng_Lkp_AnswerStatus_Good),"")</f>
        <v>0</v>
      </c>
      <c r="Q5" s="37">
        <f>IFERROR(COUNTA(Tbl_B5_Help_01[Start Year ("YYYY") ANS]),"")</f>
        <v>20</v>
      </c>
      <c r="R5" s="36">
        <f>IFERROR(COUNTA(Tbl_B5_Help_01[Full Date ("DDD, MMM D, YYYY")]),"")</f>
        <v>0</v>
      </c>
      <c r="S5" s="37">
        <f>IFERROR(COUNTIF(Tbl_B5_Help_01[Answer Status Q05],Rng_Lkp_AnswerStatus_Good),"")</f>
        <v>0</v>
      </c>
      <c r="T5" s="37">
        <f>IFERROR(COUNTA(Tbl_B5_Help_01[Full Date ("DDD, MMM D, YYYY") ANS]),"")</f>
        <v>20</v>
      </c>
      <c r="U5" s="36">
        <f>IFERROR(COUNTA(Tbl_B5_Help_01[State is "NY" AND Start Year is "2019" (TRUE/FALSE)]),"")</f>
        <v>0</v>
      </c>
      <c r="V5" s="37">
        <f>IFERROR(COUNTIF(Tbl_B5_Help_01[Answer Status Q06],Rng_Lkp_AnswerStatus_Good),"")</f>
        <v>0</v>
      </c>
      <c r="W5" s="37">
        <f>IFERROR(COUNTA(Tbl_B5_Help_01[State is "NY" AND Start Year is "2019" (TRUE/FALSE) ANS]),"")</f>
        <v>20</v>
      </c>
      <c r="X5" s="36">
        <f>IFERROR(COUNTA(Tbl_B5_Help_01[State is "NY" OR Start Year is "2019" (TRUE/FALSE)]),"")</f>
        <v>0</v>
      </c>
      <c r="Y5" s="37">
        <f>IFERROR(COUNTIF(Tbl_B5_Help_01[Answer Status Q07],Rng_Lkp_AnswerStatus_Good),"")</f>
        <v>0</v>
      </c>
      <c r="Z5" s="37">
        <f>IFERROR(COUNTA(Tbl_B5_Help_01[State is "NY" OR Start Year is "2019" (TRUE/FALSE) ANS]),"")</f>
        <v>20</v>
      </c>
      <c r="AA5" s="36">
        <f>IFERROR(COUNTA(Tbl_B5_Help_01[If State is "NJ" OR Start Year is "2012" then "Approve", otherwise "Deny"]),"")</f>
        <v>0</v>
      </c>
      <c r="AB5" s="37">
        <f>IFERROR(COUNTIF(Tbl_B5_Help_01[Answer Status Q08],Rng_Lkp_AnswerStatus_Good),"")</f>
        <v>0</v>
      </c>
      <c r="AC5" s="37">
        <f>IFERROR(COUNTA(Tbl_B5_Help_01[If State is "NJ" OR Start Year is "2012" then "Approve", otherwise "Deny" ANS]),"")</f>
        <v>20</v>
      </c>
    </row>
    <row r="6" spans="1:29" collapsed="1" x14ac:dyDescent="0.25">
      <c r="B6" s="38" t="str">
        <f>IFERROR(IF(SUMIFS(F5:AC5,F4:AC4,"&gt;=0")=0,"",SUMIFS(F5:AC5,F6:AC6,"&gt;=0", F6:AC6,"&lt;=1")/SUMIFS(F5:AC5,F4:AC4,"&gt;0")),"")</f>
        <v/>
      </c>
      <c r="C6" s="97" t="s">
        <v>44</v>
      </c>
      <c r="F6" s="30" t="s">
        <v>154</v>
      </c>
      <c r="G6" s="28" t="str">
        <f>IFERROR(G5/F5,"")</f>
        <v/>
      </c>
      <c r="H6" s="31" t="s">
        <v>26</v>
      </c>
      <c r="I6" s="30" t="s">
        <v>154</v>
      </c>
      <c r="J6" s="28" t="str">
        <f>IFERROR(J5/I5,"")</f>
        <v/>
      </c>
      <c r="K6" s="31" t="s">
        <v>26</v>
      </c>
      <c r="L6" s="30" t="s">
        <v>154</v>
      </c>
      <c r="M6" s="28" t="str">
        <f>IFERROR(M5/L5,"")</f>
        <v/>
      </c>
      <c r="N6" s="31" t="s">
        <v>26</v>
      </c>
      <c r="O6" s="30" t="s">
        <v>154</v>
      </c>
      <c r="P6" s="28" t="str">
        <f>IFERROR(P5/O5,"")</f>
        <v/>
      </c>
      <c r="Q6" s="31" t="s">
        <v>26</v>
      </c>
      <c r="R6" s="30" t="s">
        <v>196</v>
      </c>
      <c r="S6" s="28" t="str">
        <f>IFERROR(S5/R5,"")</f>
        <v/>
      </c>
      <c r="T6" s="31" t="s">
        <v>26</v>
      </c>
      <c r="U6" s="22" t="s">
        <v>59</v>
      </c>
      <c r="V6" s="28" t="str">
        <f>IFERROR(V5/U5,"")</f>
        <v/>
      </c>
      <c r="W6" s="55" t="s">
        <v>26</v>
      </c>
      <c r="X6" s="22" t="s">
        <v>60</v>
      </c>
      <c r="Y6" s="28" t="str">
        <f>IFERROR(Y5/X5,"")</f>
        <v/>
      </c>
      <c r="Z6" s="55" t="s">
        <v>26</v>
      </c>
      <c r="AA6" s="22" t="s">
        <v>218</v>
      </c>
      <c r="AB6" s="28" t="str">
        <f>IFERROR(AB5/AA5,"")</f>
        <v/>
      </c>
      <c r="AC6" s="55" t="s">
        <v>26</v>
      </c>
    </row>
    <row r="7" spans="1:29" ht="45" x14ac:dyDescent="0.25">
      <c r="B7" s="20" t="s">
        <v>10</v>
      </c>
      <c r="C7" s="20" t="s">
        <v>12</v>
      </c>
      <c r="D7" s="21" t="s">
        <v>48</v>
      </c>
      <c r="E7" s="49" t="s">
        <v>138</v>
      </c>
      <c r="F7" s="29" t="s">
        <v>155</v>
      </c>
      <c r="G7" s="26" t="s">
        <v>33</v>
      </c>
      <c r="H7" s="32" t="s">
        <v>156</v>
      </c>
      <c r="I7" s="29" t="s">
        <v>162</v>
      </c>
      <c r="J7" s="26" t="s">
        <v>34</v>
      </c>
      <c r="K7" s="32" t="s">
        <v>171</v>
      </c>
      <c r="L7" s="29" t="s">
        <v>172</v>
      </c>
      <c r="M7" s="26" t="s">
        <v>35</v>
      </c>
      <c r="N7" s="32" t="s">
        <v>173</v>
      </c>
      <c r="O7" s="29" t="s">
        <v>187</v>
      </c>
      <c r="P7" s="26" t="s">
        <v>41</v>
      </c>
      <c r="Q7" s="32" t="s">
        <v>188</v>
      </c>
      <c r="R7" s="82" t="s">
        <v>197</v>
      </c>
      <c r="S7" s="47" t="s">
        <v>46</v>
      </c>
      <c r="T7" s="84" t="s">
        <v>198</v>
      </c>
      <c r="U7" s="56" t="s">
        <v>214</v>
      </c>
      <c r="V7" s="47" t="s">
        <v>47</v>
      </c>
      <c r="W7" s="57" t="s">
        <v>215</v>
      </c>
      <c r="X7" s="56" t="s">
        <v>216</v>
      </c>
      <c r="Y7" s="47" t="s">
        <v>152</v>
      </c>
      <c r="Z7" s="57" t="s">
        <v>217</v>
      </c>
      <c r="AA7" s="56" t="s">
        <v>219</v>
      </c>
      <c r="AB7" s="47" t="s">
        <v>153</v>
      </c>
      <c r="AC7" s="57" t="s">
        <v>220</v>
      </c>
    </row>
    <row r="8" spans="1:29" x14ac:dyDescent="0.25">
      <c r="B8" s="11">
        <v>4405</v>
      </c>
      <c r="C8" s="11" t="s">
        <v>143</v>
      </c>
      <c r="D8" s="12" t="s">
        <v>49</v>
      </c>
      <c r="E8" s="12">
        <v>43466</v>
      </c>
      <c r="F8" s="88"/>
      <c r="G8" s="27" t="str">
        <f>IFERROR(IF(Tbl_B5_Help_01[[#This Row],[Start Weekday ("DDD")]]="","",IF(AND(_xlfn.ISFORMULA(Tbl_B5_Help_01[[#This Row],[Start Weekday ("DDD")]]),EXACT(Tbl_B5_Help_01[[#This Row],[Start Weekday ("DDD")]],Tbl_B5_Help_01[[#This Row],[Start Weekday ("DDD") ANS]])),Rng_Lkp_AnswerStatus_Good,Rng_Lkp_AnswerStatus_Bad)),Rng_Lkp_AnswerStatus_Bad)</f>
        <v/>
      </c>
      <c r="H8" s="41" t="s">
        <v>157</v>
      </c>
      <c r="I8" s="88"/>
      <c r="J8" s="27" t="str">
        <f>IFERROR(IF(Tbl_B5_Help_01[[#This Row],[Start Month ("MMM")]]="","",IF(AND(_xlfn.ISFORMULA(Tbl_B5_Help_01[[#This Row],[Start Month ("MMM")]]),EXACT(Tbl_B5_Help_01[[#This Row],[Start Month ("MMM")]],Tbl_B5_Help_01[[#This Row],[Start Month ("MMM") ANS]])),Rng_Lkp_AnswerStatus_Good,Rng_Lkp_AnswerStatus_Bad)),Rng_Lkp_AnswerStatus_Bad)</f>
        <v/>
      </c>
      <c r="K8" s="41" t="s">
        <v>163</v>
      </c>
      <c r="L8" s="89"/>
      <c r="M8" s="27" t="str">
        <f>IFERROR(IF(Tbl_B5_Help_01[[#This Row],[Start Day ("D")]]="","",IF(AND(_xlfn.ISFORMULA(Tbl_B5_Help_01[[#This Row],[Start Day ("D")]]),EXACT(Tbl_B5_Help_01[[#This Row],[Start Day ("D")]],Tbl_B5_Help_01[[#This Row],[Start Day ("D") ANS]])),Rng_Lkp_AnswerStatus_Good,Rng_Lkp_AnswerStatus_Bad)),Rng_Lkp_AnswerStatus_Bad)</f>
        <v/>
      </c>
      <c r="N8" s="41" t="s">
        <v>174</v>
      </c>
      <c r="O8" s="89"/>
      <c r="P8" s="27" t="str">
        <f>IFERROR(IF(Tbl_B5_Help_01[[#This Row],[Start Year ("YYYY")]]="","",IF(AND(_xlfn.ISFORMULA(Tbl_B5_Help_01[[#This Row],[Start Year ("YYYY")]]),EXACT(Tbl_B5_Help_01[[#This Row],[Start Year ("YYYY")]],Tbl_B5_Help_01[[#This Row],[Start Year ("YYYY") ANS]])),Rng_Lkp_AnswerStatus_Good,Rng_Lkp_AnswerStatus_Bad)),Rng_Lkp_AnswerStatus_Bad)</f>
        <v/>
      </c>
      <c r="Q8" s="41" t="s">
        <v>189</v>
      </c>
      <c r="R8" s="89"/>
      <c r="S8" s="27" t="str">
        <f>IFERROR(IF(Tbl_B5_Help_01[[#This Row],[Full Date ("DDD, MMM D, YYYY")]]="","",IF(AND(_xlfn.ISFORMULA(Tbl_B5_Help_01[[#This Row],[Full Date ("DDD, MMM D, YYYY")]]),EXACT(Tbl_B5_Help_01[[#This Row],[Full Date ("DDD, MMM D, YYYY")]],Tbl_B5_Help_01[[#This Row],[Full Date ("DDD, MMM D, YYYY") ANS]])),Rng_Lkp_AnswerStatus_Good,Rng_Lkp_AnswerStatus_Bad)),Rng_Lkp_AnswerStatus_Bad)</f>
        <v/>
      </c>
      <c r="T8" s="41" t="s">
        <v>199</v>
      </c>
      <c r="U8" s="52"/>
      <c r="V8" s="27" t="str">
        <f>IFERROR(IF(Tbl_B5_Help_01[[#This Row],[State is "NY" AND Start Year is "2019" (TRUE/FALSE)]]="","",IF(AND(_xlfn.ISFORMULA(Tbl_B5_Help_01[[#This Row],[State is "NY" AND Start Year is "2019" (TRUE/FALSE)]]),EXACT(Tbl_B5_Help_01[[#This Row],[State is "NY" AND Start Year is "2019" (TRUE/FALSE)]],Tbl_B5_Help_01[[#This Row],[State is "NY" AND Start Year is "2019" (TRUE/FALSE) ANS]])),Rng_Lkp_AnswerStatus_Good,Rng_Lkp_AnswerStatus_Bad)),Rng_Lkp_AnswerStatus_Bad)</f>
        <v/>
      </c>
      <c r="W8" s="54" t="b">
        <v>1</v>
      </c>
      <c r="X8" s="52"/>
      <c r="Y8" s="27" t="str">
        <f>IFERROR(IF(Tbl_B5_Help_01[[#This Row],[State is "NY" OR Start Year is "2019" (TRUE/FALSE)]]="","",IF(AND(_xlfn.ISFORMULA(Tbl_B5_Help_01[[#This Row],[State is "NY" OR Start Year is "2019" (TRUE/FALSE)]]),EXACT(Tbl_B5_Help_01[[#This Row],[State is "NY" OR Start Year is "2019" (TRUE/FALSE)]],Tbl_B5_Help_01[[#This Row],[State is "NY" OR Start Year is "2019" (TRUE/FALSE) ANS]])),Rng_Lkp_AnswerStatus_Good,Rng_Lkp_AnswerStatus_Bad)),Rng_Lkp_AnswerStatus_Bad)</f>
        <v/>
      </c>
      <c r="Z8" s="54" t="b">
        <v>1</v>
      </c>
      <c r="AA8" s="52"/>
      <c r="AB8" s="27" t="str">
        <f>IFERROR(IF(Tbl_B5_Help_01[[#This Row],[If State is "NJ" OR Start Year is "2012" then "Approve", otherwise "Deny"]]="","",IF(AND(_xlfn.ISFORMULA(Tbl_B5_Help_01[[#This Row],[If State is "NJ" OR Start Year is "2012" then "Approve", otherwise "Deny"]]),EXACT(Tbl_B5_Help_01[[#This Row],[If State is "NJ" OR Start Year is "2012" then "Approve", otherwise "Deny"]],Tbl_B5_Help_01[[#This Row],[If State is "NJ" OR Start Year is "2012" then "Approve", otherwise "Deny" ANS]])),Rng_Lkp_AnswerStatus_Good,Rng_Lkp_AnswerStatus_Bad)),Rng_Lkp_AnswerStatus_Bad)</f>
        <v/>
      </c>
      <c r="AC8" s="54" t="s">
        <v>221</v>
      </c>
    </row>
    <row r="9" spans="1:29" x14ac:dyDescent="0.25">
      <c r="B9" s="11">
        <v>1030</v>
      </c>
      <c r="C9" s="11" t="s">
        <v>13</v>
      </c>
      <c r="D9" s="12" t="s">
        <v>50</v>
      </c>
      <c r="E9" s="12">
        <v>41239</v>
      </c>
      <c r="F9" s="89"/>
      <c r="G9" s="27" t="str">
        <f>IFERROR(IF(Tbl_B5_Help_01[[#This Row],[Start Weekday ("DDD")]]="","",IF(AND(_xlfn.ISFORMULA(Tbl_B5_Help_01[[#This Row],[Start Weekday ("DDD")]]),EXACT(Tbl_B5_Help_01[[#This Row],[Start Weekday ("DDD")]],Tbl_B5_Help_01[[#This Row],[Start Weekday ("DDD") ANS]])),Rng_Lkp_AnswerStatus_Good,Rng_Lkp_AnswerStatus_Bad)),Rng_Lkp_AnswerStatus_Bad)</f>
        <v/>
      </c>
      <c r="H9" s="41" t="s">
        <v>158</v>
      </c>
      <c r="I9" s="89"/>
      <c r="J9" s="27" t="str">
        <f>IFERROR(IF(Tbl_B5_Help_01[[#This Row],[Start Month ("MMM")]]="","",IF(AND(_xlfn.ISFORMULA(Tbl_B5_Help_01[[#This Row],[Start Month ("MMM")]]),EXACT(Tbl_B5_Help_01[[#This Row],[Start Month ("MMM")]],Tbl_B5_Help_01[[#This Row],[Start Month ("MMM") ANS]])),Rng_Lkp_AnswerStatus_Good,Rng_Lkp_AnswerStatus_Bad)),Rng_Lkp_AnswerStatus_Bad)</f>
        <v/>
      </c>
      <c r="K9" s="41" t="s">
        <v>164</v>
      </c>
      <c r="L9" s="89"/>
      <c r="M9" s="27" t="str">
        <f>IFERROR(IF(Tbl_B5_Help_01[[#This Row],[Start Day ("D")]]="","",IF(AND(_xlfn.ISFORMULA(Tbl_B5_Help_01[[#This Row],[Start Day ("D")]]),EXACT(Tbl_B5_Help_01[[#This Row],[Start Day ("D")]],Tbl_B5_Help_01[[#This Row],[Start Day ("D") ANS]])),Rng_Lkp_AnswerStatus_Good,Rng_Lkp_AnswerStatus_Bad)),Rng_Lkp_AnswerStatus_Bad)</f>
        <v/>
      </c>
      <c r="N9" s="41" t="s">
        <v>175</v>
      </c>
      <c r="O9" s="89"/>
      <c r="P9" s="27" t="str">
        <f>IFERROR(IF(Tbl_B5_Help_01[[#This Row],[Start Year ("YYYY")]]="","",IF(AND(_xlfn.ISFORMULA(Tbl_B5_Help_01[[#This Row],[Start Year ("YYYY")]]),EXACT(Tbl_B5_Help_01[[#This Row],[Start Year ("YYYY")]],Tbl_B5_Help_01[[#This Row],[Start Year ("YYYY") ANS]])),Rng_Lkp_AnswerStatus_Good,Rng_Lkp_AnswerStatus_Bad)),Rng_Lkp_AnswerStatus_Bad)</f>
        <v/>
      </c>
      <c r="Q9" s="41" t="s">
        <v>190</v>
      </c>
      <c r="R9" s="89"/>
      <c r="S9" s="48" t="str">
        <f>IFERROR(IF(Tbl_B5_Help_01[[#This Row],[Full Date ("DDD, MMM D, YYYY")]]="","",IF(AND(_xlfn.ISFORMULA(Tbl_B5_Help_01[[#This Row],[Full Date ("DDD, MMM D, YYYY")]]),EXACT(Tbl_B5_Help_01[[#This Row],[Full Date ("DDD, MMM D, YYYY")]],Tbl_B5_Help_01[[#This Row],[Full Date ("DDD, MMM D, YYYY") ANS]])),Rng_Lkp_AnswerStatus_Good,Rng_Lkp_AnswerStatus_Bad)),Rng_Lkp_AnswerStatus_Bad)</f>
        <v/>
      </c>
      <c r="T9" s="41" t="s">
        <v>200</v>
      </c>
      <c r="U9" s="52"/>
      <c r="V9" s="48" t="str">
        <f>IFERROR(IF(Tbl_B5_Help_01[[#This Row],[State is "NY" AND Start Year is "2019" (TRUE/FALSE)]]="","",IF(AND(_xlfn.ISFORMULA(Tbl_B5_Help_01[[#This Row],[State is "NY" AND Start Year is "2019" (TRUE/FALSE)]]),EXACT(Tbl_B5_Help_01[[#This Row],[State is "NY" AND Start Year is "2019" (TRUE/FALSE)]],Tbl_B5_Help_01[[#This Row],[State is "NY" AND Start Year is "2019" (TRUE/FALSE) ANS]])),Rng_Lkp_AnswerStatus_Good,Rng_Lkp_AnswerStatus_Bad)),Rng_Lkp_AnswerStatus_Bad)</f>
        <v/>
      </c>
      <c r="W9" s="54" t="b">
        <v>0</v>
      </c>
      <c r="X9" s="52"/>
      <c r="Y9" s="48" t="str">
        <f>IFERROR(IF(Tbl_B5_Help_01[[#This Row],[State is "NY" OR Start Year is "2019" (TRUE/FALSE)]]="","",IF(AND(_xlfn.ISFORMULA(Tbl_B5_Help_01[[#This Row],[State is "NY" OR Start Year is "2019" (TRUE/FALSE)]]),EXACT(Tbl_B5_Help_01[[#This Row],[State is "NY" OR Start Year is "2019" (TRUE/FALSE)]],Tbl_B5_Help_01[[#This Row],[State is "NY" OR Start Year is "2019" (TRUE/FALSE) ANS]])),Rng_Lkp_AnswerStatus_Good,Rng_Lkp_AnswerStatus_Bad)),Rng_Lkp_AnswerStatus_Bad)</f>
        <v/>
      </c>
      <c r="Z9" s="54" t="b">
        <v>0</v>
      </c>
      <c r="AA9" s="52"/>
      <c r="AB9" s="48" t="str">
        <f>IFERROR(IF(Tbl_B5_Help_01[[#This Row],[If State is "NJ" OR Start Year is "2012" then "Approve", otherwise "Deny"]]="","",IF(AND(_xlfn.ISFORMULA(Tbl_B5_Help_01[[#This Row],[If State is "NJ" OR Start Year is "2012" then "Approve", otherwise "Deny"]]),EXACT(Tbl_B5_Help_01[[#This Row],[If State is "NJ" OR Start Year is "2012" then "Approve", otherwise "Deny"]],Tbl_B5_Help_01[[#This Row],[If State is "NJ" OR Start Year is "2012" then "Approve", otherwise "Deny" ANS]])),Rng_Lkp_AnswerStatus_Good,Rng_Lkp_AnswerStatus_Bad)),Rng_Lkp_AnswerStatus_Bad)</f>
        <v/>
      </c>
      <c r="AC9" s="54" t="s">
        <v>222</v>
      </c>
    </row>
    <row r="10" spans="1:29" x14ac:dyDescent="0.25">
      <c r="B10" s="11">
        <v>1603</v>
      </c>
      <c r="C10" s="11" t="s">
        <v>142</v>
      </c>
      <c r="D10" s="12" t="s">
        <v>51</v>
      </c>
      <c r="E10" s="12">
        <v>41269</v>
      </c>
      <c r="F10" s="89"/>
      <c r="G10" s="27" t="str">
        <f>IFERROR(IF(Tbl_B5_Help_01[[#This Row],[Start Weekday ("DDD")]]="","",IF(AND(_xlfn.ISFORMULA(Tbl_B5_Help_01[[#This Row],[Start Weekday ("DDD")]]),EXACT(Tbl_B5_Help_01[[#This Row],[Start Weekday ("DDD")]],Tbl_B5_Help_01[[#This Row],[Start Weekday ("DDD") ANS]])),Rng_Lkp_AnswerStatus_Good,Rng_Lkp_AnswerStatus_Bad)),Rng_Lkp_AnswerStatus_Bad)</f>
        <v/>
      </c>
      <c r="H10" s="41" t="s">
        <v>159</v>
      </c>
      <c r="I10" s="89"/>
      <c r="J10" s="27" t="str">
        <f>IFERROR(IF(Tbl_B5_Help_01[[#This Row],[Start Month ("MMM")]]="","",IF(AND(_xlfn.ISFORMULA(Tbl_B5_Help_01[[#This Row],[Start Month ("MMM")]]),EXACT(Tbl_B5_Help_01[[#This Row],[Start Month ("MMM")]],Tbl_B5_Help_01[[#This Row],[Start Month ("MMM") ANS]])),Rng_Lkp_AnswerStatus_Good,Rng_Lkp_AnswerStatus_Bad)),Rng_Lkp_AnswerStatus_Bad)</f>
        <v/>
      </c>
      <c r="K10" s="41" t="s">
        <v>165</v>
      </c>
      <c r="L10" s="89"/>
      <c r="M10" s="27" t="str">
        <f>IFERROR(IF(Tbl_B5_Help_01[[#This Row],[Start Day ("D")]]="","",IF(AND(_xlfn.ISFORMULA(Tbl_B5_Help_01[[#This Row],[Start Day ("D")]]),EXACT(Tbl_B5_Help_01[[#This Row],[Start Day ("D")]],Tbl_B5_Help_01[[#This Row],[Start Day ("D") ANS]])),Rng_Lkp_AnswerStatus_Good,Rng_Lkp_AnswerStatus_Bad)),Rng_Lkp_AnswerStatus_Bad)</f>
        <v/>
      </c>
      <c r="N10" s="41" t="s">
        <v>175</v>
      </c>
      <c r="O10" s="89"/>
      <c r="P10" s="27" t="str">
        <f>IFERROR(IF(Tbl_B5_Help_01[[#This Row],[Start Year ("YYYY")]]="","",IF(AND(_xlfn.ISFORMULA(Tbl_B5_Help_01[[#This Row],[Start Year ("YYYY")]]),EXACT(Tbl_B5_Help_01[[#This Row],[Start Year ("YYYY")]],Tbl_B5_Help_01[[#This Row],[Start Year ("YYYY") ANS]])),Rng_Lkp_AnswerStatus_Good,Rng_Lkp_AnswerStatus_Bad)),Rng_Lkp_AnswerStatus_Bad)</f>
        <v/>
      </c>
      <c r="Q10" s="41" t="s">
        <v>190</v>
      </c>
      <c r="R10" s="89"/>
      <c r="S10" s="48" t="str">
        <f>IFERROR(IF(Tbl_B5_Help_01[[#This Row],[Full Date ("DDD, MMM D, YYYY")]]="","",IF(AND(_xlfn.ISFORMULA(Tbl_B5_Help_01[[#This Row],[Full Date ("DDD, MMM D, YYYY")]]),EXACT(Tbl_B5_Help_01[[#This Row],[Full Date ("DDD, MMM D, YYYY")]],Tbl_B5_Help_01[[#This Row],[Full Date ("DDD, MMM D, YYYY") ANS]])),Rng_Lkp_AnswerStatus_Good,Rng_Lkp_AnswerStatus_Bad)),Rng_Lkp_AnswerStatus_Bad)</f>
        <v/>
      </c>
      <c r="T10" s="41" t="s">
        <v>201</v>
      </c>
      <c r="U10" s="52"/>
      <c r="V10" s="48" t="str">
        <f>IFERROR(IF(Tbl_B5_Help_01[[#This Row],[State is "NY" AND Start Year is "2019" (TRUE/FALSE)]]="","",IF(AND(_xlfn.ISFORMULA(Tbl_B5_Help_01[[#This Row],[State is "NY" AND Start Year is "2019" (TRUE/FALSE)]]),EXACT(Tbl_B5_Help_01[[#This Row],[State is "NY" AND Start Year is "2019" (TRUE/FALSE)]],Tbl_B5_Help_01[[#This Row],[State is "NY" AND Start Year is "2019" (TRUE/FALSE) ANS]])),Rng_Lkp_AnswerStatus_Good,Rng_Lkp_AnswerStatus_Bad)),Rng_Lkp_AnswerStatus_Bad)</f>
        <v/>
      </c>
      <c r="W10" s="54" t="b">
        <v>0</v>
      </c>
      <c r="X10" s="52"/>
      <c r="Y10" s="48" t="str">
        <f>IFERROR(IF(Tbl_B5_Help_01[[#This Row],[State is "NY" OR Start Year is "2019" (TRUE/FALSE)]]="","",IF(AND(_xlfn.ISFORMULA(Tbl_B5_Help_01[[#This Row],[State is "NY" OR Start Year is "2019" (TRUE/FALSE)]]),EXACT(Tbl_B5_Help_01[[#This Row],[State is "NY" OR Start Year is "2019" (TRUE/FALSE)]],Tbl_B5_Help_01[[#This Row],[State is "NY" OR Start Year is "2019" (TRUE/FALSE) ANS]])),Rng_Lkp_AnswerStatus_Good,Rng_Lkp_AnswerStatus_Bad)),Rng_Lkp_AnswerStatus_Bad)</f>
        <v/>
      </c>
      <c r="Z10" s="54" t="b">
        <v>0</v>
      </c>
      <c r="AA10" s="52"/>
      <c r="AB10" s="48" t="str">
        <f>IFERROR(IF(Tbl_B5_Help_01[[#This Row],[If State is "NJ" OR Start Year is "2012" then "Approve", otherwise "Deny"]]="","",IF(AND(_xlfn.ISFORMULA(Tbl_B5_Help_01[[#This Row],[If State is "NJ" OR Start Year is "2012" then "Approve", otherwise "Deny"]]),EXACT(Tbl_B5_Help_01[[#This Row],[If State is "NJ" OR Start Year is "2012" then "Approve", otherwise "Deny"]],Tbl_B5_Help_01[[#This Row],[If State is "NJ" OR Start Year is "2012" then "Approve", otherwise "Deny" ANS]])),Rng_Lkp_AnswerStatus_Good,Rng_Lkp_AnswerStatus_Bad)),Rng_Lkp_AnswerStatus_Bad)</f>
        <v/>
      </c>
      <c r="AC10" s="54" t="s">
        <v>222</v>
      </c>
    </row>
    <row r="11" spans="1:29" x14ac:dyDescent="0.25">
      <c r="B11" s="11">
        <v>4298</v>
      </c>
      <c r="C11" s="11" t="s">
        <v>14</v>
      </c>
      <c r="D11" s="12" t="s">
        <v>52</v>
      </c>
      <c r="E11" s="12">
        <v>42895</v>
      </c>
      <c r="F11" s="89"/>
      <c r="G11" s="27" t="str">
        <f>IFERROR(IF(Tbl_B5_Help_01[[#This Row],[Start Weekday ("DDD")]]="","",IF(AND(_xlfn.ISFORMULA(Tbl_B5_Help_01[[#This Row],[Start Weekday ("DDD")]]),EXACT(Tbl_B5_Help_01[[#This Row],[Start Weekday ("DDD")]],Tbl_B5_Help_01[[#This Row],[Start Weekday ("DDD") ANS]])),Rng_Lkp_AnswerStatus_Good,Rng_Lkp_AnswerStatus_Bad)),Rng_Lkp_AnswerStatus_Bad)</f>
        <v/>
      </c>
      <c r="H11" s="41" t="s">
        <v>160</v>
      </c>
      <c r="I11" s="89"/>
      <c r="J11" s="27" t="str">
        <f>IFERROR(IF(Tbl_B5_Help_01[[#This Row],[Start Month ("MMM")]]="","",IF(AND(_xlfn.ISFORMULA(Tbl_B5_Help_01[[#This Row],[Start Month ("MMM")]]),EXACT(Tbl_B5_Help_01[[#This Row],[Start Month ("MMM")]],Tbl_B5_Help_01[[#This Row],[Start Month ("MMM") ANS]])),Rng_Lkp_AnswerStatus_Good,Rng_Lkp_AnswerStatus_Bad)),Rng_Lkp_AnswerStatus_Bad)</f>
        <v/>
      </c>
      <c r="K11" s="41" t="s">
        <v>166</v>
      </c>
      <c r="L11" s="89"/>
      <c r="M11" s="27" t="str">
        <f>IFERROR(IF(Tbl_B5_Help_01[[#This Row],[Start Day ("D")]]="","",IF(AND(_xlfn.ISFORMULA(Tbl_B5_Help_01[[#This Row],[Start Day ("D")]]),EXACT(Tbl_B5_Help_01[[#This Row],[Start Day ("D")]],Tbl_B5_Help_01[[#This Row],[Start Day ("D") ANS]])),Rng_Lkp_AnswerStatus_Good,Rng_Lkp_AnswerStatus_Bad)),Rng_Lkp_AnswerStatus_Bad)</f>
        <v/>
      </c>
      <c r="N11" s="41" t="s">
        <v>176</v>
      </c>
      <c r="O11" s="89"/>
      <c r="P11" s="27" t="str">
        <f>IFERROR(IF(Tbl_B5_Help_01[[#This Row],[Start Year ("YYYY")]]="","",IF(AND(_xlfn.ISFORMULA(Tbl_B5_Help_01[[#This Row],[Start Year ("YYYY")]]),EXACT(Tbl_B5_Help_01[[#This Row],[Start Year ("YYYY")]],Tbl_B5_Help_01[[#This Row],[Start Year ("YYYY") ANS]])),Rng_Lkp_AnswerStatus_Good,Rng_Lkp_AnswerStatus_Bad)),Rng_Lkp_AnswerStatus_Bad)</f>
        <v/>
      </c>
      <c r="Q11" s="41" t="s">
        <v>191</v>
      </c>
      <c r="R11" s="89"/>
      <c r="S11" s="48" t="str">
        <f>IFERROR(IF(Tbl_B5_Help_01[[#This Row],[Full Date ("DDD, MMM D, YYYY")]]="","",IF(AND(_xlfn.ISFORMULA(Tbl_B5_Help_01[[#This Row],[Full Date ("DDD, MMM D, YYYY")]]),EXACT(Tbl_B5_Help_01[[#This Row],[Full Date ("DDD, MMM D, YYYY")]],Tbl_B5_Help_01[[#This Row],[Full Date ("DDD, MMM D, YYYY") ANS]])),Rng_Lkp_AnswerStatus_Good,Rng_Lkp_AnswerStatus_Bad)),Rng_Lkp_AnswerStatus_Bad)</f>
        <v/>
      </c>
      <c r="T11" s="41" t="s">
        <v>202</v>
      </c>
      <c r="U11" s="52"/>
      <c r="V11" s="48" t="str">
        <f>IFERROR(IF(Tbl_B5_Help_01[[#This Row],[State is "NY" AND Start Year is "2019" (TRUE/FALSE)]]="","",IF(AND(_xlfn.ISFORMULA(Tbl_B5_Help_01[[#This Row],[State is "NY" AND Start Year is "2019" (TRUE/FALSE)]]),EXACT(Tbl_B5_Help_01[[#This Row],[State is "NY" AND Start Year is "2019" (TRUE/FALSE)]],Tbl_B5_Help_01[[#This Row],[State is "NY" AND Start Year is "2019" (TRUE/FALSE) ANS]])),Rng_Lkp_AnswerStatus_Good,Rng_Lkp_AnswerStatus_Bad)),Rng_Lkp_AnswerStatus_Bad)</f>
        <v/>
      </c>
      <c r="W11" s="54" t="b">
        <v>0</v>
      </c>
      <c r="X11" s="52"/>
      <c r="Y11" s="48" t="str">
        <f>IFERROR(IF(Tbl_B5_Help_01[[#This Row],[State is "NY" OR Start Year is "2019" (TRUE/FALSE)]]="","",IF(AND(_xlfn.ISFORMULA(Tbl_B5_Help_01[[#This Row],[State is "NY" OR Start Year is "2019" (TRUE/FALSE)]]),EXACT(Tbl_B5_Help_01[[#This Row],[State is "NY" OR Start Year is "2019" (TRUE/FALSE)]],Tbl_B5_Help_01[[#This Row],[State is "NY" OR Start Year is "2019" (TRUE/FALSE) ANS]])),Rng_Lkp_AnswerStatus_Good,Rng_Lkp_AnswerStatus_Bad)),Rng_Lkp_AnswerStatus_Bad)</f>
        <v/>
      </c>
      <c r="Z11" s="54" t="b">
        <v>0</v>
      </c>
      <c r="AA11" s="52"/>
      <c r="AB11" s="48" t="str">
        <f>IFERROR(IF(Tbl_B5_Help_01[[#This Row],[If State is "NJ" OR Start Year is "2012" then "Approve", otherwise "Deny"]]="","",IF(AND(_xlfn.ISFORMULA(Tbl_B5_Help_01[[#This Row],[If State is "NJ" OR Start Year is "2012" then "Approve", otherwise "Deny"]]),EXACT(Tbl_B5_Help_01[[#This Row],[If State is "NJ" OR Start Year is "2012" then "Approve", otherwise "Deny"]],Tbl_B5_Help_01[[#This Row],[If State is "NJ" OR Start Year is "2012" then "Approve", otherwise "Deny" ANS]])),Rng_Lkp_AnswerStatus_Good,Rng_Lkp_AnswerStatus_Bad)),Rng_Lkp_AnswerStatus_Bad)</f>
        <v/>
      </c>
      <c r="AC11" s="54" t="s">
        <v>221</v>
      </c>
    </row>
    <row r="12" spans="1:29" x14ac:dyDescent="0.25">
      <c r="B12" s="11">
        <v>2352</v>
      </c>
      <c r="C12" s="11" t="s">
        <v>139</v>
      </c>
      <c r="D12" s="12" t="s">
        <v>53</v>
      </c>
      <c r="E12" s="12">
        <v>43466</v>
      </c>
      <c r="F12" s="89"/>
      <c r="G12" s="27" t="str">
        <f>IFERROR(IF(Tbl_B5_Help_01[[#This Row],[Start Weekday ("DDD")]]="","",IF(AND(_xlfn.ISFORMULA(Tbl_B5_Help_01[[#This Row],[Start Weekday ("DDD")]]),EXACT(Tbl_B5_Help_01[[#This Row],[Start Weekday ("DDD")]],Tbl_B5_Help_01[[#This Row],[Start Weekday ("DDD") ANS]])),Rng_Lkp_AnswerStatus_Good,Rng_Lkp_AnswerStatus_Bad)),Rng_Lkp_AnswerStatus_Bad)</f>
        <v/>
      </c>
      <c r="H12" s="41" t="s">
        <v>157</v>
      </c>
      <c r="I12" s="89"/>
      <c r="J12" s="27" t="str">
        <f>IFERROR(IF(Tbl_B5_Help_01[[#This Row],[Start Month ("MMM")]]="","",IF(AND(_xlfn.ISFORMULA(Tbl_B5_Help_01[[#This Row],[Start Month ("MMM")]]),EXACT(Tbl_B5_Help_01[[#This Row],[Start Month ("MMM")]],Tbl_B5_Help_01[[#This Row],[Start Month ("MMM") ANS]])),Rng_Lkp_AnswerStatus_Good,Rng_Lkp_AnswerStatus_Bad)),Rng_Lkp_AnswerStatus_Bad)</f>
        <v/>
      </c>
      <c r="K12" s="41" t="s">
        <v>163</v>
      </c>
      <c r="L12" s="89"/>
      <c r="M12" s="27" t="str">
        <f>IFERROR(IF(Tbl_B5_Help_01[[#This Row],[Start Day ("D")]]="","",IF(AND(_xlfn.ISFORMULA(Tbl_B5_Help_01[[#This Row],[Start Day ("D")]]),EXACT(Tbl_B5_Help_01[[#This Row],[Start Day ("D")]],Tbl_B5_Help_01[[#This Row],[Start Day ("D") ANS]])),Rng_Lkp_AnswerStatus_Good,Rng_Lkp_AnswerStatus_Bad)),Rng_Lkp_AnswerStatus_Bad)</f>
        <v/>
      </c>
      <c r="N12" s="41" t="s">
        <v>174</v>
      </c>
      <c r="O12" s="89"/>
      <c r="P12" s="27" t="str">
        <f>IFERROR(IF(Tbl_B5_Help_01[[#This Row],[Start Year ("YYYY")]]="","",IF(AND(_xlfn.ISFORMULA(Tbl_B5_Help_01[[#This Row],[Start Year ("YYYY")]]),EXACT(Tbl_B5_Help_01[[#This Row],[Start Year ("YYYY")]],Tbl_B5_Help_01[[#This Row],[Start Year ("YYYY") ANS]])),Rng_Lkp_AnswerStatus_Good,Rng_Lkp_AnswerStatus_Bad)),Rng_Lkp_AnswerStatus_Bad)</f>
        <v/>
      </c>
      <c r="Q12" s="41" t="s">
        <v>189</v>
      </c>
      <c r="R12" s="89"/>
      <c r="S12" s="48" t="str">
        <f>IFERROR(IF(Tbl_B5_Help_01[[#This Row],[Full Date ("DDD, MMM D, YYYY")]]="","",IF(AND(_xlfn.ISFORMULA(Tbl_B5_Help_01[[#This Row],[Full Date ("DDD, MMM D, YYYY")]]),EXACT(Tbl_B5_Help_01[[#This Row],[Full Date ("DDD, MMM D, YYYY")]],Tbl_B5_Help_01[[#This Row],[Full Date ("DDD, MMM D, YYYY") ANS]])),Rng_Lkp_AnswerStatus_Good,Rng_Lkp_AnswerStatus_Bad)),Rng_Lkp_AnswerStatus_Bad)</f>
        <v/>
      </c>
      <c r="T12" s="41" t="s">
        <v>199</v>
      </c>
      <c r="U12" s="52"/>
      <c r="V12" s="48" t="str">
        <f>IFERROR(IF(Tbl_B5_Help_01[[#This Row],[State is "NY" AND Start Year is "2019" (TRUE/FALSE)]]="","",IF(AND(_xlfn.ISFORMULA(Tbl_B5_Help_01[[#This Row],[State is "NY" AND Start Year is "2019" (TRUE/FALSE)]]),EXACT(Tbl_B5_Help_01[[#This Row],[State is "NY" AND Start Year is "2019" (TRUE/FALSE)]],Tbl_B5_Help_01[[#This Row],[State is "NY" AND Start Year is "2019" (TRUE/FALSE) ANS]])),Rng_Lkp_AnswerStatus_Good,Rng_Lkp_AnswerStatus_Bad)),Rng_Lkp_AnswerStatus_Bad)</f>
        <v/>
      </c>
      <c r="W12" s="54" t="b">
        <v>0</v>
      </c>
      <c r="X12" s="52"/>
      <c r="Y12" s="48" t="str">
        <f>IFERROR(IF(Tbl_B5_Help_01[[#This Row],[State is "NY" OR Start Year is "2019" (TRUE/FALSE)]]="","",IF(AND(_xlfn.ISFORMULA(Tbl_B5_Help_01[[#This Row],[State is "NY" OR Start Year is "2019" (TRUE/FALSE)]]),EXACT(Tbl_B5_Help_01[[#This Row],[State is "NY" OR Start Year is "2019" (TRUE/FALSE)]],Tbl_B5_Help_01[[#This Row],[State is "NY" OR Start Year is "2019" (TRUE/FALSE) ANS]])),Rng_Lkp_AnswerStatus_Good,Rng_Lkp_AnswerStatus_Bad)),Rng_Lkp_AnswerStatus_Bad)</f>
        <v/>
      </c>
      <c r="Z12" s="54" t="b">
        <v>1</v>
      </c>
      <c r="AA12" s="52"/>
      <c r="AB12" s="48" t="str">
        <f>IFERROR(IF(Tbl_B5_Help_01[[#This Row],[If State is "NJ" OR Start Year is "2012" then "Approve", otherwise "Deny"]]="","",IF(AND(_xlfn.ISFORMULA(Tbl_B5_Help_01[[#This Row],[If State is "NJ" OR Start Year is "2012" then "Approve", otherwise "Deny"]]),EXACT(Tbl_B5_Help_01[[#This Row],[If State is "NJ" OR Start Year is "2012" then "Approve", otherwise "Deny"]],Tbl_B5_Help_01[[#This Row],[If State is "NJ" OR Start Year is "2012" then "Approve", otherwise "Deny" ANS]])),Rng_Lkp_AnswerStatus_Good,Rng_Lkp_AnswerStatus_Bad)),Rng_Lkp_AnswerStatus_Bad)</f>
        <v/>
      </c>
      <c r="AC12" s="54" t="s">
        <v>221</v>
      </c>
    </row>
    <row r="13" spans="1:29" x14ac:dyDescent="0.25">
      <c r="B13" s="11">
        <v>1049</v>
      </c>
      <c r="C13" s="11" t="s">
        <v>140</v>
      </c>
      <c r="D13" s="12" t="s">
        <v>54</v>
      </c>
      <c r="E13" s="12">
        <v>40855</v>
      </c>
      <c r="F13" s="89"/>
      <c r="G13" s="27" t="str">
        <f>IFERROR(IF(Tbl_B5_Help_01[[#This Row],[Start Weekday ("DDD")]]="","",IF(AND(_xlfn.ISFORMULA(Tbl_B5_Help_01[[#This Row],[Start Weekday ("DDD")]]),EXACT(Tbl_B5_Help_01[[#This Row],[Start Weekday ("DDD")]],Tbl_B5_Help_01[[#This Row],[Start Weekday ("DDD") ANS]])),Rng_Lkp_AnswerStatus_Good,Rng_Lkp_AnswerStatus_Bad)),Rng_Lkp_AnswerStatus_Bad)</f>
        <v/>
      </c>
      <c r="H13" s="41" t="s">
        <v>157</v>
      </c>
      <c r="I13" s="89"/>
      <c r="J13" s="27" t="str">
        <f>IFERROR(IF(Tbl_B5_Help_01[[#This Row],[Start Month ("MMM")]]="","",IF(AND(_xlfn.ISFORMULA(Tbl_B5_Help_01[[#This Row],[Start Month ("MMM")]]),EXACT(Tbl_B5_Help_01[[#This Row],[Start Month ("MMM")]],Tbl_B5_Help_01[[#This Row],[Start Month ("MMM") ANS]])),Rng_Lkp_AnswerStatus_Good,Rng_Lkp_AnswerStatus_Bad)),Rng_Lkp_AnswerStatus_Bad)</f>
        <v/>
      </c>
      <c r="K13" s="41" t="s">
        <v>164</v>
      </c>
      <c r="L13" s="89"/>
      <c r="M13" s="27" t="str">
        <f>IFERROR(IF(Tbl_B5_Help_01[[#This Row],[Start Day ("D")]]="","",IF(AND(_xlfn.ISFORMULA(Tbl_B5_Help_01[[#This Row],[Start Day ("D")]]),EXACT(Tbl_B5_Help_01[[#This Row],[Start Day ("D")]],Tbl_B5_Help_01[[#This Row],[Start Day ("D") ANS]])),Rng_Lkp_AnswerStatus_Good,Rng_Lkp_AnswerStatus_Bad)),Rng_Lkp_AnswerStatus_Bad)</f>
        <v/>
      </c>
      <c r="N13" s="41" t="s">
        <v>177</v>
      </c>
      <c r="O13" s="89"/>
      <c r="P13" s="27" t="str">
        <f>IFERROR(IF(Tbl_B5_Help_01[[#This Row],[Start Year ("YYYY")]]="","",IF(AND(_xlfn.ISFORMULA(Tbl_B5_Help_01[[#This Row],[Start Year ("YYYY")]]),EXACT(Tbl_B5_Help_01[[#This Row],[Start Year ("YYYY")]],Tbl_B5_Help_01[[#This Row],[Start Year ("YYYY") ANS]])),Rng_Lkp_AnswerStatus_Good,Rng_Lkp_AnswerStatus_Bad)),Rng_Lkp_AnswerStatus_Bad)</f>
        <v/>
      </c>
      <c r="Q13" s="41" t="s">
        <v>192</v>
      </c>
      <c r="R13" s="89"/>
      <c r="S13" s="48" t="str">
        <f>IFERROR(IF(Tbl_B5_Help_01[[#This Row],[Full Date ("DDD, MMM D, YYYY")]]="","",IF(AND(_xlfn.ISFORMULA(Tbl_B5_Help_01[[#This Row],[Full Date ("DDD, MMM D, YYYY")]]),EXACT(Tbl_B5_Help_01[[#This Row],[Full Date ("DDD, MMM D, YYYY")]],Tbl_B5_Help_01[[#This Row],[Full Date ("DDD, MMM D, YYYY") ANS]])),Rng_Lkp_AnswerStatus_Good,Rng_Lkp_AnswerStatus_Bad)),Rng_Lkp_AnswerStatus_Bad)</f>
        <v/>
      </c>
      <c r="T13" s="41" t="s">
        <v>203</v>
      </c>
      <c r="U13" s="52"/>
      <c r="V13" s="48" t="str">
        <f>IFERROR(IF(Tbl_B5_Help_01[[#This Row],[State is "NY" AND Start Year is "2019" (TRUE/FALSE)]]="","",IF(AND(_xlfn.ISFORMULA(Tbl_B5_Help_01[[#This Row],[State is "NY" AND Start Year is "2019" (TRUE/FALSE)]]),EXACT(Tbl_B5_Help_01[[#This Row],[State is "NY" AND Start Year is "2019" (TRUE/FALSE)]],Tbl_B5_Help_01[[#This Row],[State is "NY" AND Start Year is "2019" (TRUE/FALSE) ANS]])),Rng_Lkp_AnswerStatus_Good,Rng_Lkp_AnswerStatus_Bad)),Rng_Lkp_AnswerStatus_Bad)</f>
        <v/>
      </c>
      <c r="W13" s="54" t="b">
        <v>0</v>
      </c>
      <c r="X13" s="52"/>
      <c r="Y13" s="48" t="str">
        <f>IFERROR(IF(Tbl_B5_Help_01[[#This Row],[State is "NY" OR Start Year is "2019" (TRUE/FALSE)]]="","",IF(AND(_xlfn.ISFORMULA(Tbl_B5_Help_01[[#This Row],[State is "NY" OR Start Year is "2019" (TRUE/FALSE)]]),EXACT(Tbl_B5_Help_01[[#This Row],[State is "NY" OR Start Year is "2019" (TRUE/FALSE)]],Tbl_B5_Help_01[[#This Row],[State is "NY" OR Start Year is "2019" (TRUE/FALSE) ANS]])),Rng_Lkp_AnswerStatus_Good,Rng_Lkp_AnswerStatus_Bad)),Rng_Lkp_AnswerStatus_Bad)</f>
        <v/>
      </c>
      <c r="Z13" s="54" t="b">
        <v>0</v>
      </c>
      <c r="AA13" s="52"/>
      <c r="AB13" s="48" t="str">
        <f>IFERROR(IF(Tbl_B5_Help_01[[#This Row],[If State is "NJ" OR Start Year is "2012" then "Approve", otherwise "Deny"]]="","",IF(AND(_xlfn.ISFORMULA(Tbl_B5_Help_01[[#This Row],[If State is "NJ" OR Start Year is "2012" then "Approve", otherwise "Deny"]]),EXACT(Tbl_B5_Help_01[[#This Row],[If State is "NJ" OR Start Year is "2012" then "Approve", otherwise "Deny"]],Tbl_B5_Help_01[[#This Row],[If State is "NJ" OR Start Year is "2012" then "Approve", otherwise "Deny" ANS]])),Rng_Lkp_AnswerStatus_Good,Rng_Lkp_AnswerStatus_Bad)),Rng_Lkp_AnswerStatus_Bad)</f>
        <v/>
      </c>
      <c r="AC13" s="54" t="s">
        <v>221</v>
      </c>
    </row>
    <row r="14" spans="1:29" x14ac:dyDescent="0.25">
      <c r="B14" s="11">
        <v>2278</v>
      </c>
      <c r="C14" s="11" t="s">
        <v>141</v>
      </c>
      <c r="D14" s="12" t="s">
        <v>51</v>
      </c>
      <c r="E14" s="12">
        <v>42166</v>
      </c>
      <c r="F14" s="89"/>
      <c r="G14" s="27" t="str">
        <f>IFERROR(IF(Tbl_B5_Help_01[[#This Row],[Start Weekday ("DDD")]]="","",IF(AND(_xlfn.ISFORMULA(Tbl_B5_Help_01[[#This Row],[Start Weekday ("DDD")]]),EXACT(Tbl_B5_Help_01[[#This Row],[Start Weekday ("DDD")]],Tbl_B5_Help_01[[#This Row],[Start Weekday ("DDD") ANS]])),Rng_Lkp_AnswerStatus_Good,Rng_Lkp_AnswerStatus_Bad)),Rng_Lkp_AnswerStatus_Bad)</f>
        <v/>
      </c>
      <c r="H14" s="41" t="s">
        <v>161</v>
      </c>
      <c r="I14" s="89"/>
      <c r="J14" s="27" t="str">
        <f>IFERROR(IF(Tbl_B5_Help_01[[#This Row],[Start Month ("MMM")]]="","",IF(AND(_xlfn.ISFORMULA(Tbl_B5_Help_01[[#This Row],[Start Month ("MMM")]]),EXACT(Tbl_B5_Help_01[[#This Row],[Start Month ("MMM")]],Tbl_B5_Help_01[[#This Row],[Start Month ("MMM") ANS]])),Rng_Lkp_AnswerStatus_Good,Rng_Lkp_AnswerStatus_Bad)),Rng_Lkp_AnswerStatus_Bad)</f>
        <v/>
      </c>
      <c r="K14" s="41" t="s">
        <v>166</v>
      </c>
      <c r="L14" s="89"/>
      <c r="M14" s="27" t="str">
        <f>IFERROR(IF(Tbl_B5_Help_01[[#This Row],[Start Day ("D")]]="","",IF(AND(_xlfn.ISFORMULA(Tbl_B5_Help_01[[#This Row],[Start Day ("D")]]),EXACT(Tbl_B5_Help_01[[#This Row],[Start Day ("D")]],Tbl_B5_Help_01[[#This Row],[Start Day ("D") ANS]])),Rng_Lkp_AnswerStatus_Good,Rng_Lkp_AnswerStatus_Bad)),Rng_Lkp_AnswerStatus_Bad)</f>
        <v/>
      </c>
      <c r="N14" s="41" t="s">
        <v>178</v>
      </c>
      <c r="O14" s="89"/>
      <c r="P14" s="27" t="str">
        <f>IFERROR(IF(Tbl_B5_Help_01[[#This Row],[Start Year ("YYYY")]]="","",IF(AND(_xlfn.ISFORMULA(Tbl_B5_Help_01[[#This Row],[Start Year ("YYYY")]]),EXACT(Tbl_B5_Help_01[[#This Row],[Start Year ("YYYY")]],Tbl_B5_Help_01[[#This Row],[Start Year ("YYYY") ANS]])),Rng_Lkp_AnswerStatus_Good,Rng_Lkp_AnswerStatus_Bad)),Rng_Lkp_AnswerStatus_Bad)</f>
        <v/>
      </c>
      <c r="Q14" s="41" t="s">
        <v>193</v>
      </c>
      <c r="R14" s="89"/>
      <c r="S14" s="48" t="str">
        <f>IFERROR(IF(Tbl_B5_Help_01[[#This Row],[Full Date ("DDD, MMM D, YYYY")]]="","",IF(AND(_xlfn.ISFORMULA(Tbl_B5_Help_01[[#This Row],[Full Date ("DDD, MMM D, YYYY")]]),EXACT(Tbl_B5_Help_01[[#This Row],[Full Date ("DDD, MMM D, YYYY")]],Tbl_B5_Help_01[[#This Row],[Full Date ("DDD, MMM D, YYYY") ANS]])),Rng_Lkp_AnswerStatus_Good,Rng_Lkp_AnswerStatus_Bad)),Rng_Lkp_AnswerStatus_Bad)</f>
        <v/>
      </c>
      <c r="T14" s="41" t="s">
        <v>204</v>
      </c>
      <c r="U14" s="52"/>
      <c r="V14" s="48" t="str">
        <f>IFERROR(IF(Tbl_B5_Help_01[[#This Row],[State is "NY" AND Start Year is "2019" (TRUE/FALSE)]]="","",IF(AND(_xlfn.ISFORMULA(Tbl_B5_Help_01[[#This Row],[State is "NY" AND Start Year is "2019" (TRUE/FALSE)]]),EXACT(Tbl_B5_Help_01[[#This Row],[State is "NY" AND Start Year is "2019" (TRUE/FALSE)]],Tbl_B5_Help_01[[#This Row],[State is "NY" AND Start Year is "2019" (TRUE/FALSE) ANS]])),Rng_Lkp_AnswerStatus_Good,Rng_Lkp_AnswerStatus_Bad)),Rng_Lkp_AnswerStatus_Bad)</f>
        <v/>
      </c>
      <c r="W14" s="54" t="b">
        <v>0</v>
      </c>
      <c r="X14" s="52"/>
      <c r="Y14" s="48" t="str">
        <f>IFERROR(IF(Tbl_B5_Help_01[[#This Row],[State is "NY" OR Start Year is "2019" (TRUE/FALSE)]]="","",IF(AND(_xlfn.ISFORMULA(Tbl_B5_Help_01[[#This Row],[State is "NY" OR Start Year is "2019" (TRUE/FALSE)]]),EXACT(Tbl_B5_Help_01[[#This Row],[State is "NY" OR Start Year is "2019" (TRUE/FALSE)]],Tbl_B5_Help_01[[#This Row],[State is "NY" OR Start Year is "2019" (TRUE/FALSE) ANS]])),Rng_Lkp_AnswerStatus_Good,Rng_Lkp_AnswerStatus_Bad)),Rng_Lkp_AnswerStatus_Bad)</f>
        <v/>
      </c>
      <c r="Z14" s="54" t="b">
        <v>0</v>
      </c>
      <c r="AA14" s="52"/>
      <c r="AB14" s="48" t="str">
        <f>IFERROR(IF(Tbl_B5_Help_01[[#This Row],[If State is "NJ" OR Start Year is "2012" then "Approve", otherwise "Deny"]]="","",IF(AND(_xlfn.ISFORMULA(Tbl_B5_Help_01[[#This Row],[If State is "NJ" OR Start Year is "2012" then "Approve", otherwise "Deny"]]),EXACT(Tbl_B5_Help_01[[#This Row],[If State is "NJ" OR Start Year is "2012" then "Approve", otherwise "Deny"]],Tbl_B5_Help_01[[#This Row],[If State is "NJ" OR Start Year is "2012" then "Approve", otherwise "Deny" ANS]])),Rng_Lkp_AnswerStatus_Good,Rng_Lkp_AnswerStatus_Bad)),Rng_Lkp_AnswerStatus_Bad)</f>
        <v/>
      </c>
      <c r="AC14" s="54" t="s">
        <v>222</v>
      </c>
    </row>
    <row r="15" spans="1:29" x14ac:dyDescent="0.25">
      <c r="B15" s="11">
        <v>4071</v>
      </c>
      <c r="C15" s="11" t="s">
        <v>15</v>
      </c>
      <c r="D15" s="12" t="s">
        <v>52</v>
      </c>
      <c r="E15" s="12">
        <v>43466</v>
      </c>
      <c r="F15" s="89"/>
      <c r="G15" s="27" t="str">
        <f>IFERROR(IF(Tbl_B5_Help_01[[#This Row],[Start Weekday ("DDD")]]="","",IF(AND(_xlfn.ISFORMULA(Tbl_B5_Help_01[[#This Row],[Start Weekday ("DDD")]]),EXACT(Tbl_B5_Help_01[[#This Row],[Start Weekday ("DDD")]],Tbl_B5_Help_01[[#This Row],[Start Weekday ("DDD") ANS]])),Rng_Lkp_AnswerStatus_Good,Rng_Lkp_AnswerStatus_Bad)),Rng_Lkp_AnswerStatus_Bad)</f>
        <v/>
      </c>
      <c r="H15" s="41" t="s">
        <v>157</v>
      </c>
      <c r="I15" s="89"/>
      <c r="J15" s="27" t="str">
        <f>IFERROR(IF(Tbl_B5_Help_01[[#This Row],[Start Month ("MMM")]]="","",IF(AND(_xlfn.ISFORMULA(Tbl_B5_Help_01[[#This Row],[Start Month ("MMM")]]),EXACT(Tbl_B5_Help_01[[#This Row],[Start Month ("MMM")]],Tbl_B5_Help_01[[#This Row],[Start Month ("MMM") ANS]])),Rng_Lkp_AnswerStatus_Good,Rng_Lkp_AnswerStatus_Bad)),Rng_Lkp_AnswerStatus_Bad)</f>
        <v/>
      </c>
      <c r="K15" s="41" t="s">
        <v>163</v>
      </c>
      <c r="L15" s="89"/>
      <c r="M15" s="27" t="str">
        <f>IFERROR(IF(Tbl_B5_Help_01[[#This Row],[Start Day ("D")]]="","",IF(AND(_xlfn.ISFORMULA(Tbl_B5_Help_01[[#This Row],[Start Day ("D")]]),EXACT(Tbl_B5_Help_01[[#This Row],[Start Day ("D")]],Tbl_B5_Help_01[[#This Row],[Start Day ("D") ANS]])),Rng_Lkp_AnswerStatus_Good,Rng_Lkp_AnswerStatus_Bad)),Rng_Lkp_AnswerStatus_Bad)</f>
        <v/>
      </c>
      <c r="N15" s="41" t="s">
        <v>174</v>
      </c>
      <c r="O15" s="89"/>
      <c r="P15" s="27" t="str">
        <f>IFERROR(IF(Tbl_B5_Help_01[[#This Row],[Start Year ("YYYY")]]="","",IF(AND(_xlfn.ISFORMULA(Tbl_B5_Help_01[[#This Row],[Start Year ("YYYY")]]),EXACT(Tbl_B5_Help_01[[#This Row],[Start Year ("YYYY")]],Tbl_B5_Help_01[[#This Row],[Start Year ("YYYY") ANS]])),Rng_Lkp_AnswerStatus_Good,Rng_Lkp_AnswerStatus_Bad)),Rng_Lkp_AnswerStatus_Bad)</f>
        <v/>
      </c>
      <c r="Q15" s="41" t="s">
        <v>189</v>
      </c>
      <c r="R15" s="89"/>
      <c r="S15" s="48" t="str">
        <f>IFERROR(IF(Tbl_B5_Help_01[[#This Row],[Full Date ("DDD, MMM D, YYYY")]]="","",IF(AND(_xlfn.ISFORMULA(Tbl_B5_Help_01[[#This Row],[Full Date ("DDD, MMM D, YYYY")]]),EXACT(Tbl_B5_Help_01[[#This Row],[Full Date ("DDD, MMM D, YYYY")]],Tbl_B5_Help_01[[#This Row],[Full Date ("DDD, MMM D, YYYY") ANS]])),Rng_Lkp_AnswerStatus_Good,Rng_Lkp_AnswerStatus_Bad)),Rng_Lkp_AnswerStatus_Bad)</f>
        <v/>
      </c>
      <c r="T15" s="41" t="s">
        <v>199</v>
      </c>
      <c r="U15" s="52"/>
      <c r="V15" s="48" t="str">
        <f>IFERROR(IF(Tbl_B5_Help_01[[#This Row],[State is "NY" AND Start Year is "2019" (TRUE/FALSE)]]="","",IF(AND(_xlfn.ISFORMULA(Tbl_B5_Help_01[[#This Row],[State is "NY" AND Start Year is "2019" (TRUE/FALSE)]]),EXACT(Tbl_B5_Help_01[[#This Row],[State is "NY" AND Start Year is "2019" (TRUE/FALSE)]],Tbl_B5_Help_01[[#This Row],[State is "NY" AND Start Year is "2019" (TRUE/FALSE) ANS]])),Rng_Lkp_AnswerStatus_Good,Rng_Lkp_AnswerStatus_Bad)),Rng_Lkp_AnswerStatus_Bad)</f>
        <v/>
      </c>
      <c r="W15" s="54" t="b">
        <v>0</v>
      </c>
      <c r="X15" s="52"/>
      <c r="Y15" s="48" t="str">
        <f>IFERROR(IF(Tbl_B5_Help_01[[#This Row],[State is "NY" OR Start Year is "2019" (TRUE/FALSE)]]="","",IF(AND(_xlfn.ISFORMULA(Tbl_B5_Help_01[[#This Row],[State is "NY" OR Start Year is "2019" (TRUE/FALSE)]]),EXACT(Tbl_B5_Help_01[[#This Row],[State is "NY" OR Start Year is "2019" (TRUE/FALSE)]],Tbl_B5_Help_01[[#This Row],[State is "NY" OR Start Year is "2019" (TRUE/FALSE) ANS]])),Rng_Lkp_AnswerStatus_Good,Rng_Lkp_AnswerStatus_Bad)),Rng_Lkp_AnswerStatus_Bad)</f>
        <v/>
      </c>
      <c r="Z15" s="54" t="b">
        <v>1</v>
      </c>
      <c r="AA15" s="52"/>
      <c r="AB15" s="48" t="str">
        <f>IFERROR(IF(Tbl_B5_Help_01[[#This Row],[If State is "NJ" OR Start Year is "2012" then "Approve", otherwise "Deny"]]="","",IF(AND(_xlfn.ISFORMULA(Tbl_B5_Help_01[[#This Row],[If State is "NJ" OR Start Year is "2012" then "Approve", otherwise "Deny"]]),EXACT(Tbl_B5_Help_01[[#This Row],[If State is "NJ" OR Start Year is "2012" then "Approve", otherwise "Deny"]],Tbl_B5_Help_01[[#This Row],[If State is "NJ" OR Start Year is "2012" then "Approve", otherwise "Deny" ANS]])),Rng_Lkp_AnswerStatus_Good,Rng_Lkp_AnswerStatus_Bad)),Rng_Lkp_AnswerStatus_Bad)</f>
        <v/>
      </c>
      <c r="AC15" s="54" t="s">
        <v>221</v>
      </c>
    </row>
    <row r="16" spans="1:29" x14ac:dyDescent="0.25">
      <c r="B16" s="11">
        <v>1066</v>
      </c>
      <c r="C16" s="11" t="s">
        <v>16</v>
      </c>
      <c r="D16" s="12" t="s">
        <v>55</v>
      </c>
      <c r="E16" s="12">
        <v>41568</v>
      </c>
      <c r="F16" s="89"/>
      <c r="G16" s="27" t="str">
        <f>IFERROR(IF(Tbl_B5_Help_01[[#This Row],[Start Weekday ("DDD")]]="","",IF(AND(_xlfn.ISFORMULA(Tbl_B5_Help_01[[#This Row],[Start Weekday ("DDD")]]),EXACT(Tbl_B5_Help_01[[#This Row],[Start Weekday ("DDD")]],Tbl_B5_Help_01[[#This Row],[Start Weekday ("DDD") ANS]])),Rng_Lkp_AnswerStatus_Good,Rng_Lkp_AnswerStatus_Bad)),Rng_Lkp_AnswerStatus_Bad)</f>
        <v/>
      </c>
      <c r="H16" s="41" t="s">
        <v>158</v>
      </c>
      <c r="I16" s="89"/>
      <c r="J16" s="27" t="str">
        <f>IFERROR(IF(Tbl_B5_Help_01[[#This Row],[Start Month ("MMM")]]="","",IF(AND(_xlfn.ISFORMULA(Tbl_B5_Help_01[[#This Row],[Start Month ("MMM")]]),EXACT(Tbl_B5_Help_01[[#This Row],[Start Month ("MMM")]],Tbl_B5_Help_01[[#This Row],[Start Month ("MMM") ANS]])),Rng_Lkp_AnswerStatus_Good,Rng_Lkp_AnswerStatus_Bad)),Rng_Lkp_AnswerStatus_Bad)</f>
        <v/>
      </c>
      <c r="K16" s="41" t="s">
        <v>167</v>
      </c>
      <c r="L16" s="89"/>
      <c r="M16" s="27" t="str">
        <f>IFERROR(IF(Tbl_B5_Help_01[[#This Row],[Start Day ("D")]]="","",IF(AND(_xlfn.ISFORMULA(Tbl_B5_Help_01[[#This Row],[Start Day ("D")]]),EXACT(Tbl_B5_Help_01[[#This Row],[Start Day ("D")]],Tbl_B5_Help_01[[#This Row],[Start Day ("D") ANS]])),Rng_Lkp_AnswerStatus_Good,Rng_Lkp_AnswerStatus_Bad)),Rng_Lkp_AnswerStatus_Bad)</f>
        <v/>
      </c>
      <c r="N16" s="41" t="s">
        <v>179</v>
      </c>
      <c r="O16" s="89"/>
      <c r="P16" s="27" t="str">
        <f>IFERROR(IF(Tbl_B5_Help_01[[#This Row],[Start Year ("YYYY")]]="","",IF(AND(_xlfn.ISFORMULA(Tbl_B5_Help_01[[#This Row],[Start Year ("YYYY")]]),EXACT(Tbl_B5_Help_01[[#This Row],[Start Year ("YYYY")]],Tbl_B5_Help_01[[#This Row],[Start Year ("YYYY") ANS]])),Rng_Lkp_AnswerStatus_Good,Rng_Lkp_AnswerStatus_Bad)),Rng_Lkp_AnswerStatus_Bad)</f>
        <v/>
      </c>
      <c r="Q16" s="41" t="s">
        <v>194</v>
      </c>
      <c r="R16" s="89"/>
      <c r="S16" s="48" t="str">
        <f>IFERROR(IF(Tbl_B5_Help_01[[#This Row],[Full Date ("DDD, MMM D, YYYY")]]="","",IF(AND(_xlfn.ISFORMULA(Tbl_B5_Help_01[[#This Row],[Full Date ("DDD, MMM D, YYYY")]]),EXACT(Tbl_B5_Help_01[[#This Row],[Full Date ("DDD, MMM D, YYYY")]],Tbl_B5_Help_01[[#This Row],[Full Date ("DDD, MMM D, YYYY") ANS]])),Rng_Lkp_AnswerStatus_Good,Rng_Lkp_AnswerStatus_Bad)),Rng_Lkp_AnswerStatus_Bad)</f>
        <v/>
      </c>
      <c r="T16" s="41" t="s">
        <v>205</v>
      </c>
      <c r="U16" s="52"/>
      <c r="V16" s="48" t="str">
        <f>IFERROR(IF(Tbl_B5_Help_01[[#This Row],[State is "NY" AND Start Year is "2019" (TRUE/FALSE)]]="","",IF(AND(_xlfn.ISFORMULA(Tbl_B5_Help_01[[#This Row],[State is "NY" AND Start Year is "2019" (TRUE/FALSE)]]),EXACT(Tbl_B5_Help_01[[#This Row],[State is "NY" AND Start Year is "2019" (TRUE/FALSE)]],Tbl_B5_Help_01[[#This Row],[State is "NY" AND Start Year is "2019" (TRUE/FALSE) ANS]])),Rng_Lkp_AnswerStatus_Good,Rng_Lkp_AnswerStatus_Bad)),Rng_Lkp_AnswerStatus_Bad)</f>
        <v/>
      </c>
      <c r="W16" s="54" t="b">
        <v>0</v>
      </c>
      <c r="X16" s="52"/>
      <c r="Y16" s="48" t="str">
        <f>IFERROR(IF(Tbl_B5_Help_01[[#This Row],[State is "NY" OR Start Year is "2019" (TRUE/FALSE)]]="","",IF(AND(_xlfn.ISFORMULA(Tbl_B5_Help_01[[#This Row],[State is "NY" OR Start Year is "2019" (TRUE/FALSE)]]),EXACT(Tbl_B5_Help_01[[#This Row],[State is "NY" OR Start Year is "2019" (TRUE/FALSE)]],Tbl_B5_Help_01[[#This Row],[State is "NY" OR Start Year is "2019" (TRUE/FALSE) ANS]])),Rng_Lkp_AnswerStatus_Good,Rng_Lkp_AnswerStatus_Bad)),Rng_Lkp_AnswerStatus_Bad)</f>
        <v/>
      </c>
      <c r="Z16" s="54" t="b">
        <v>0</v>
      </c>
      <c r="AA16" s="52"/>
      <c r="AB16" s="48" t="str">
        <f>IFERROR(IF(Tbl_B5_Help_01[[#This Row],[If State is "NJ" OR Start Year is "2012" then "Approve", otherwise "Deny"]]="","",IF(AND(_xlfn.ISFORMULA(Tbl_B5_Help_01[[#This Row],[If State is "NJ" OR Start Year is "2012" then "Approve", otherwise "Deny"]]),EXACT(Tbl_B5_Help_01[[#This Row],[If State is "NJ" OR Start Year is "2012" then "Approve", otherwise "Deny"]],Tbl_B5_Help_01[[#This Row],[If State is "NJ" OR Start Year is "2012" then "Approve", otherwise "Deny" ANS]])),Rng_Lkp_AnswerStatus_Good,Rng_Lkp_AnswerStatus_Bad)),Rng_Lkp_AnswerStatus_Bad)</f>
        <v/>
      </c>
      <c r="AC16" s="54" t="s">
        <v>221</v>
      </c>
    </row>
    <row r="17" spans="2:29" x14ac:dyDescent="0.25">
      <c r="B17" s="11">
        <v>2316</v>
      </c>
      <c r="C17" s="11" t="s">
        <v>144</v>
      </c>
      <c r="D17" s="12" t="s">
        <v>56</v>
      </c>
      <c r="E17" s="12">
        <v>42898</v>
      </c>
      <c r="F17" s="89"/>
      <c r="G17" s="27" t="str">
        <f>IFERROR(IF(Tbl_B5_Help_01[[#This Row],[Start Weekday ("DDD")]]="","",IF(AND(_xlfn.ISFORMULA(Tbl_B5_Help_01[[#This Row],[Start Weekday ("DDD")]]),EXACT(Tbl_B5_Help_01[[#This Row],[Start Weekday ("DDD")]],Tbl_B5_Help_01[[#This Row],[Start Weekday ("DDD") ANS]])),Rng_Lkp_AnswerStatus_Good,Rng_Lkp_AnswerStatus_Bad)),Rng_Lkp_AnswerStatus_Bad)</f>
        <v/>
      </c>
      <c r="H17" s="41" t="s">
        <v>158</v>
      </c>
      <c r="I17" s="89"/>
      <c r="J17" s="27" t="str">
        <f>IFERROR(IF(Tbl_B5_Help_01[[#This Row],[Start Month ("MMM")]]="","",IF(AND(_xlfn.ISFORMULA(Tbl_B5_Help_01[[#This Row],[Start Month ("MMM")]]),EXACT(Tbl_B5_Help_01[[#This Row],[Start Month ("MMM")]],Tbl_B5_Help_01[[#This Row],[Start Month ("MMM") ANS]])),Rng_Lkp_AnswerStatus_Good,Rng_Lkp_AnswerStatus_Bad)),Rng_Lkp_AnswerStatus_Bad)</f>
        <v/>
      </c>
      <c r="K17" s="41" t="s">
        <v>166</v>
      </c>
      <c r="L17" s="89"/>
      <c r="M17" s="27" t="str">
        <f>IFERROR(IF(Tbl_B5_Help_01[[#This Row],[Start Day ("D")]]="","",IF(AND(_xlfn.ISFORMULA(Tbl_B5_Help_01[[#This Row],[Start Day ("D")]]),EXACT(Tbl_B5_Help_01[[#This Row],[Start Day ("D")]],Tbl_B5_Help_01[[#This Row],[Start Day ("D") ANS]])),Rng_Lkp_AnswerStatus_Good,Rng_Lkp_AnswerStatus_Bad)),Rng_Lkp_AnswerStatus_Bad)</f>
        <v/>
      </c>
      <c r="N17" s="41" t="s">
        <v>180</v>
      </c>
      <c r="O17" s="89"/>
      <c r="P17" s="27" t="str">
        <f>IFERROR(IF(Tbl_B5_Help_01[[#This Row],[Start Year ("YYYY")]]="","",IF(AND(_xlfn.ISFORMULA(Tbl_B5_Help_01[[#This Row],[Start Year ("YYYY")]]),EXACT(Tbl_B5_Help_01[[#This Row],[Start Year ("YYYY")]],Tbl_B5_Help_01[[#This Row],[Start Year ("YYYY") ANS]])),Rng_Lkp_AnswerStatus_Good,Rng_Lkp_AnswerStatus_Bad)),Rng_Lkp_AnswerStatus_Bad)</f>
        <v/>
      </c>
      <c r="Q17" s="41" t="s">
        <v>191</v>
      </c>
      <c r="R17" s="89"/>
      <c r="S17" s="48" t="str">
        <f>IFERROR(IF(Tbl_B5_Help_01[[#This Row],[Full Date ("DDD, MMM D, YYYY")]]="","",IF(AND(_xlfn.ISFORMULA(Tbl_B5_Help_01[[#This Row],[Full Date ("DDD, MMM D, YYYY")]]),EXACT(Tbl_B5_Help_01[[#This Row],[Full Date ("DDD, MMM D, YYYY")]],Tbl_B5_Help_01[[#This Row],[Full Date ("DDD, MMM D, YYYY") ANS]])),Rng_Lkp_AnswerStatus_Good,Rng_Lkp_AnswerStatus_Bad)),Rng_Lkp_AnswerStatus_Bad)</f>
        <v/>
      </c>
      <c r="T17" s="41" t="s">
        <v>206</v>
      </c>
      <c r="U17" s="52"/>
      <c r="V17" s="48" t="str">
        <f>IFERROR(IF(Tbl_B5_Help_01[[#This Row],[State is "NY" AND Start Year is "2019" (TRUE/FALSE)]]="","",IF(AND(_xlfn.ISFORMULA(Tbl_B5_Help_01[[#This Row],[State is "NY" AND Start Year is "2019" (TRUE/FALSE)]]),EXACT(Tbl_B5_Help_01[[#This Row],[State is "NY" AND Start Year is "2019" (TRUE/FALSE)]],Tbl_B5_Help_01[[#This Row],[State is "NY" AND Start Year is "2019" (TRUE/FALSE) ANS]])),Rng_Lkp_AnswerStatus_Good,Rng_Lkp_AnswerStatus_Bad)),Rng_Lkp_AnswerStatus_Bad)</f>
        <v/>
      </c>
      <c r="W17" s="54" t="b">
        <v>0</v>
      </c>
      <c r="X17" s="52"/>
      <c r="Y17" s="48" t="str">
        <f>IFERROR(IF(Tbl_B5_Help_01[[#This Row],[State is "NY" OR Start Year is "2019" (TRUE/FALSE)]]="","",IF(AND(_xlfn.ISFORMULA(Tbl_B5_Help_01[[#This Row],[State is "NY" OR Start Year is "2019" (TRUE/FALSE)]]),EXACT(Tbl_B5_Help_01[[#This Row],[State is "NY" OR Start Year is "2019" (TRUE/FALSE)]],Tbl_B5_Help_01[[#This Row],[State is "NY" OR Start Year is "2019" (TRUE/FALSE) ANS]])),Rng_Lkp_AnswerStatus_Good,Rng_Lkp_AnswerStatus_Bad)),Rng_Lkp_AnswerStatus_Bad)</f>
        <v/>
      </c>
      <c r="Z17" s="54" t="b">
        <v>0</v>
      </c>
      <c r="AA17" s="52"/>
      <c r="AB17" s="48" t="str">
        <f>IFERROR(IF(Tbl_B5_Help_01[[#This Row],[If State is "NJ" OR Start Year is "2012" then "Approve", otherwise "Deny"]]="","",IF(AND(_xlfn.ISFORMULA(Tbl_B5_Help_01[[#This Row],[If State is "NJ" OR Start Year is "2012" then "Approve", otherwise "Deny"]]),EXACT(Tbl_B5_Help_01[[#This Row],[If State is "NJ" OR Start Year is "2012" then "Approve", otherwise "Deny"]],Tbl_B5_Help_01[[#This Row],[If State is "NJ" OR Start Year is "2012" then "Approve", otherwise "Deny" ANS]])),Rng_Lkp_AnswerStatus_Good,Rng_Lkp_AnswerStatus_Bad)),Rng_Lkp_AnswerStatus_Bad)</f>
        <v/>
      </c>
      <c r="AC17" s="54" t="s">
        <v>221</v>
      </c>
    </row>
    <row r="18" spans="2:29" x14ac:dyDescent="0.25">
      <c r="B18" s="14">
        <v>3334</v>
      </c>
      <c r="C18" s="14" t="s">
        <v>17</v>
      </c>
      <c r="D18" s="15" t="s">
        <v>51</v>
      </c>
      <c r="E18" s="15">
        <v>41121</v>
      </c>
      <c r="F18" s="89"/>
      <c r="G18" s="27" t="str">
        <f>IFERROR(IF(Tbl_B5_Help_01[[#This Row],[Start Weekday ("DDD")]]="","",IF(AND(_xlfn.ISFORMULA(Tbl_B5_Help_01[[#This Row],[Start Weekday ("DDD")]]),EXACT(Tbl_B5_Help_01[[#This Row],[Start Weekday ("DDD")]],Tbl_B5_Help_01[[#This Row],[Start Weekday ("DDD") ANS]])),Rng_Lkp_AnswerStatus_Good,Rng_Lkp_AnswerStatus_Bad)),Rng_Lkp_AnswerStatus_Bad)</f>
        <v/>
      </c>
      <c r="H18" s="41" t="s">
        <v>157</v>
      </c>
      <c r="I18" s="89"/>
      <c r="J18" s="27" t="str">
        <f>IFERROR(IF(Tbl_B5_Help_01[[#This Row],[Start Month ("MMM")]]="","",IF(AND(_xlfn.ISFORMULA(Tbl_B5_Help_01[[#This Row],[Start Month ("MMM")]]),EXACT(Tbl_B5_Help_01[[#This Row],[Start Month ("MMM")]],Tbl_B5_Help_01[[#This Row],[Start Month ("MMM") ANS]])),Rng_Lkp_AnswerStatus_Good,Rng_Lkp_AnswerStatus_Bad)),Rng_Lkp_AnswerStatus_Bad)</f>
        <v/>
      </c>
      <c r="K18" s="41" t="s">
        <v>168</v>
      </c>
      <c r="L18" s="89"/>
      <c r="M18" s="27" t="str">
        <f>IFERROR(IF(Tbl_B5_Help_01[[#This Row],[Start Day ("D")]]="","",IF(AND(_xlfn.ISFORMULA(Tbl_B5_Help_01[[#This Row],[Start Day ("D")]]),EXACT(Tbl_B5_Help_01[[#This Row],[Start Day ("D")]],Tbl_B5_Help_01[[#This Row],[Start Day ("D") ANS]])),Rng_Lkp_AnswerStatus_Good,Rng_Lkp_AnswerStatus_Bad)),Rng_Lkp_AnswerStatus_Bad)</f>
        <v/>
      </c>
      <c r="N18" s="41" t="s">
        <v>181</v>
      </c>
      <c r="O18" s="89"/>
      <c r="P18" s="27" t="str">
        <f>IFERROR(IF(Tbl_B5_Help_01[[#This Row],[Start Year ("YYYY")]]="","",IF(AND(_xlfn.ISFORMULA(Tbl_B5_Help_01[[#This Row],[Start Year ("YYYY")]]),EXACT(Tbl_B5_Help_01[[#This Row],[Start Year ("YYYY")]],Tbl_B5_Help_01[[#This Row],[Start Year ("YYYY") ANS]])),Rng_Lkp_AnswerStatus_Good,Rng_Lkp_AnswerStatus_Bad)),Rng_Lkp_AnswerStatus_Bad)</f>
        <v/>
      </c>
      <c r="Q18" s="41" t="s">
        <v>190</v>
      </c>
      <c r="R18" s="89"/>
      <c r="S18" s="48" t="str">
        <f>IFERROR(IF(Tbl_B5_Help_01[[#This Row],[Full Date ("DDD, MMM D, YYYY")]]="","",IF(AND(_xlfn.ISFORMULA(Tbl_B5_Help_01[[#This Row],[Full Date ("DDD, MMM D, YYYY")]]),EXACT(Tbl_B5_Help_01[[#This Row],[Full Date ("DDD, MMM D, YYYY")]],Tbl_B5_Help_01[[#This Row],[Full Date ("DDD, MMM D, YYYY") ANS]])),Rng_Lkp_AnswerStatus_Good,Rng_Lkp_AnswerStatus_Bad)),Rng_Lkp_AnswerStatus_Bad)</f>
        <v/>
      </c>
      <c r="T18" s="41" t="s">
        <v>207</v>
      </c>
      <c r="U18" s="52"/>
      <c r="V18" s="48" t="str">
        <f>IFERROR(IF(Tbl_B5_Help_01[[#This Row],[State is "NY" AND Start Year is "2019" (TRUE/FALSE)]]="","",IF(AND(_xlfn.ISFORMULA(Tbl_B5_Help_01[[#This Row],[State is "NY" AND Start Year is "2019" (TRUE/FALSE)]]),EXACT(Tbl_B5_Help_01[[#This Row],[State is "NY" AND Start Year is "2019" (TRUE/FALSE)]],Tbl_B5_Help_01[[#This Row],[State is "NY" AND Start Year is "2019" (TRUE/FALSE) ANS]])),Rng_Lkp_AnswerStatus_Good,Rng_Lkp_AnswerStatus_Bad)),Rng_Lkp_AnswerStatus_Bad)</f>
        <v/>
      </c>
      <c r="W18" s="54" t="b">
        <v>0</v>
      </c>
      <c r="X18" s="52"/>
      <c r="Y18" s="48" t="str">
        <f>IFERROR(IF(Tbl_B5_Help_01[[#This Row],[State is "NY" OR Start Year is "2019" (TRUE/FALSE)]]="","",IF(AND(_xlfn.ISFORMULA(Tbl_B5_Help_01[[#This Row],[State is "NY" OR Start Year is "2019" (TRUE/FALSE)]]),EXACT(Tbl_B5_Help_01[[#This Row],[State is "NY" OR Start Year is "2019" (TRUE/FALSE)]],Tbl_B5_Help_01[[#This Row],[State is "NY" OR Start Year is "2019" (TRUE/FALSE) ANS]])),Rng_Lkp_AnswerStatus_Good,Rng_Lkp_AnswerStatus_Bad)),Rng_Lkp_AnswerStatus_Bad)</f>
        <v/>
      </c>
      <c r="Z18" s="54" t="b">
        <v>0</v>
      </c>
      <c r="AA18" s="52"/>
      <c r="AB18" s="48" t="str">
        <f>IFERROR(IF(Tbl_B5_Help_01[[#This Row],[If State is "NJ" OR Start Year is "2012" then "Approve", otherwise "Deny"]]="","",IF(AND(_xlfn.ISFORMULA(Tbl_B5_Help_01[[#This Row],[If State is "NJ" OR Start Year is "2012" then "Approve", otherwise "Deny"]]),EXACT(Tbl_B5_Help_01[[#This Row],[If State is "NJ" OR Start Year is "2012" then "Approve", otherwise "Deny"]],Tbl_B5_Help_01[[#This Row],[If State is "NJ" OR Start Year is "2012" then "Approve", otherwise "Deny" ANS]])),Rng_Lkp_AnswerStatus_Good,Rng_Lkp_AnswerStatus_Bad)),Rng_Lkp_AnswerStatus_Bad)</f>
        <v/>
      </c>
      <c r="AC18" s="54" t="s">
        <v>222</v>
      </c>
    </row>
    <row r="19" spans="2:29" x14ac:dyDescent="0.25">
      <c r="B19" s="14">
        <v>1084</v>
      </c>
      <c r="C19" s="14" t="s">
        <v>145</v>
      </c>
      <c r="D19" s="15" t="s">
        <v>56</v>
      </c>
      <c r="E19" s="15">
        <v>41638</v>
      </c>
      <c r="F19" s="89"/>
      <c r="G19" s="27" t="str">
        <f>IFERROR(IF(Tbl_B5_Help_01[[#This Row],[Start Weekday ("DDD")]]="","",IF(AND(_xlfn.ISFORMULA(Tbl_B5_Help_01[[#This Row],[Start Weekday ("DDD")]]),EXACT(Tbl_B5_Help_01[[#This Row],[Start Weekday ("DDD")]],Tbl_B5_Help_01[[#This Row],[Start Weekday ("DDD") ANS]])),Rng_Lkp_AnswerStatus_Good,Rng_Lkp_AnswerStatus_Bad)),Rng_Lkp_AnswerStatus_Bad)</f>
        <v/>
      </c>
      <c r="H19" s="41" t="s">
        <v>158</v>
      </c>
      <c r="I19" s="89"/>
      <c r="J19" s="27" t="str">
        <f>IFERROR(IF(Tbl_B5_Help_01[[#This Row],[Start Month ("MMM")]]="","",IF(AND(_xlfn.ISFORMULA(Tbl_B5_Help_01[[#This Row],[Start Month ("MMM")]]),EXACT(Tbl_B5_Help_01[[#This Row],[Start Month ("MMM")]],Tbl_B5_Help_01[[#This Row],[Start Month ("MMM") ANS]])),Rng_Lkp_AnswerStatus_Good,Rng_Lkp_AnswerStatus_Bad)),Rng_Lkp_AnswerStatus_Bad)</f>
        <v/>
      </c>
      <c r="K19" s="41" t="s">
        <v>165</v>
      </c>
      <c r="L19" s="89"/>
      <c r="M19" s="27" t="str">
        <f>IFERROR(IF(Tbl_B5_Help_01[[#This Row],[Start Day ("D")]]="","",IF(AND(_xlfn.ISFORMULA(Tbl_B5_Help_01[[#This Row],[Start Day ("D")]]),EXACT(Tbl_B5_Help_01[[#This Row],[Start Day ("D")]],Tbl_B5_Help_01[[#This Row],[Start Day ("D") ANS]])),Rng_Lkp_AnswerStatus_Good,Rng_Lkp_AnswerStatus_Bad)),Rng_Lkp_AnswerStatus_Bad)</f>
        <v/>
      </c>
      <c r="N19" s="41" t="s">
        <v>182</v>
      </c>
      <c r="O19" s="89"/>
      <c r="P19" s="27" t="str">
        <f>IFERROR(IF(Tbl_B5_Help_01[[#This Row],[Start Year ("YYYY")]]="","",IF(AND(_xlfn.ISFORMULA(Tbl_B5_Help_01[[#This Row],[Start Year ("YYYY")]]),EXACT(Tbl_B5_Help_01[[#This Row],[Start Year ("YYYY")]],Tbl_B5_Help_01[[#This Row],[Start Year ("YYYY") ANS]])),Rng_Lkp_AnswerStatus_Good,Rng_Lkp_AnswerStatus_Bad)),Rng_Lkp_AnswerStatus_Bad)</f>
        <v/>
      </c>
      <c r="Q19" s="41" t="s">
        <v>194</v>
      </c>
      <c r="R19" s="89"/>
      <c r="S19" s="48" t="str">
        <f>IFERROR(IF(Tbl_B5_Help_01[[#This Row],[Full Date ("DDD, MMM D, YYYY")]]="","",IF(AND(_xlfn.ISFORMULA(Tbl_B5_Help_01[[#This Row],[Full Date ("DDD, MMM D, YYYY")]]),EXACT(Tbl_B5_Help_01[[#This Row],[Full Date ("DDD, MMM D, YYYY")]],Tbl_B5_Help_01[[#This Row],[Full Date ("DDD, MMM D, YYYY") ANS]])),Rng_Lkp_AnswerStatus_Good,Rng_Lkp_AnswerStatus_Bad)),Rng_Lkp_AnswerStatus_Bad)</f>
        <v/>
      </c>
      <c r="T19" s="41" t="s">
        <v>208</v>
      </c>
      <c r="U19" s="52"/>
      <c r="V19" s="48" t="str">
        <f>IFERROR(IF(Tbl_B5_Help_01[[#This Row],[State is "NY" AND Start Year is "2019" (TRUE/FALSE)]]="","",IF(AND(_xlfn.ISFORMULA(Tbl_B5_Help_01[[#This Row],[State is "NY" AND Start Year is "2019" (TRUE/FALSE)]]),EXACT(Tbl_B5_Help_01[[#This Row],[State is "NY" AND Start Year is "2019" (TRUE/FALSE)]],Tbl_B5_Help_01[[#This Row],[State is "NY" AND Start Year is "2019" (TRUE/FALSE) ANS]])),Rng_Lkp_AnswerStatus_Good,Rng_Lkp_AnswerStatus_Bad)),Rng_Lkp_AnswerStatus_Bad)</f>
        <v/>
      </c>
      <c r="W19" s="54" t="b">
        <v>0</v>
      </c>
      <c r="X19" s="52"/>
      <c r="Y19" s="48" t="str">
        <f>IFERROR(IF(Tbl_B5_Help_01[[#This Row],[State is "NY" OR Start Year is "2019" (TRUE/FALSE)]]="","",IF(AND(_xlfn.ISFORMULA(Tbl_B5_Help_01[[#This Row],[State is "NY" OR Start Year is "2019" (TRUE/FALSE)]]),EXACT(Tbl_B5_Help_01[[#This Row],[State is "NY" OR Start Year is "2019" (TRUE/FALSE)]],Tbl_B5_Help_01[[#This Row],[State is "NY" OR Start Year is "2019" (TRUE/FALSE) ANS]])),Rng_Lkp_AnswerStatus_Good,Rng_Lkp_AnswerStatus_Bad)),Rng_Lkp_AnswerStatus_Bad)</f>
        <v/>
      </c>
      <c r="Z19" s="54" t="b">
        <v>0</v>
      </c>
      <c r="AA19" s="52"/>
      <c r="AB19" s="48" t="str">
        <f>IFERROR(IF(Tbl_B5_Help_01[[#This Row],[If State is "NJ" OR Start Year is "2012" then "Approve", otherwise "Deny"]]="","",IF(AND(_xlfn.ISFORMULA(Tbl_B5_Help_01[[#This Row],[If State is "NJ" OR Start Year is "2012" then "Approve", otherwise "Deny"]]),EXACT(Tbl_B5_Help_01[[#This Row],[If State is "NJ" OR Start Year is "2012" then "Approve", otherwise "Deny"]],Tbl_B5_Help_01[[#This Row],[If State is "NJ" OR Start Year is "2012" then "Approve", otherwise "Deny" ANS]])),Rng_Lkp_AnswerStatus_Good,Rng_Lkp_AnswerStatus_Bad)),Rng_Lkp_AnswerStatus_Bad)</f>
        <v/>
      </c>
      <c r="AC19" s="54" t="s">
        <v>221</v>
      </c>
    </row>
    <row r="20" spans="2:29" x14ac:dyDescent="0.25">
      <c r="B20" s="14">
        <v>2458</v>
      </c>
      <c r="C20" s="14" t="s">
        <v>18</v>
      </c>
      <c r="D20" s="15" t="s">
        <v>51</v>
      </c>
      <c r="E20" s="15">
        <v>41176</v>
      </c>
      <c r="F20" s="89"/>
      <c r="G20" s="27" t="str">
        <f>IFERROR(IF(Tbl_B5_Help_01[[#This Row],[Start Weekday ("DDD")]]="","",IF(AND(_xlfn.ISFORMULA(Tbl_B5_Help_01[[#This Row],[Start Weekday ("DDD")]]),EXACT(Tbl_B5_Help_01[[#This Row],[Start Weekday ("DDD")]],Tbl_B5_Help_01[[#This Row],[Start Weekday ("DDD") ANS]])),Rng_Lkp_AnswerStatus_Good,Rng_Lkp_AnswerStatus_Bad)),Rng_Lkp_AnswerStatus_Bad)</f>
        <v/>
      </c>
      <c r="H20" s="41" t="s">
        <v>158</v>
      </c>
      <c r="I20" s="89"/>
      <c r="J20" s="27" t="str">
        <f>IFERROR(IF(Tbl_B5_Help_01[[#This Row],[Start Month ("MMM")]]="","",IF(AND(_xlfn.ISFORMULA(Tbl_B5_Help_01[[#This Row],[Start Month ("MMM")]]),EXACT(Tbl_B5_Help_01[[#This Row],[Start Month ("MMM")]],Tbl_B5_Help_01[[#This Row],[Start Month ("MMM") ANS]])),Rng_Lkp_AnswerStatus_Good,Rng_Lkp_AnswerStatus_Bad)),Rng_Lkp_AnswerStatus_Bad)</f>
        <v/>
      </c>
      <c r="K20" s="41" t="s">
        <v>169</v>
      </c>
      <c r="L20" s="89"/>
      <c r="M20" s="27" t="str">
        <f>IFERROR(IF(Tbl_B5_Help_01[[#This Row],[Start Day ("D")]]="","",IF(AND(_xlfn.ISFORMULA(Tbl_B5_Help_01[[#This Row],[Start Day ("D")]]),EXACT(Tbl_B5_Help_01[[#This Row],[Start Day ("D")]],Tbl_B5_Help_01[[#This Row],[Start Day ("D") ANS]])),Rng_Lkp_AnswerStatus_Good,Rng_Lkp_AnswerStatus_Bad)),Rng_Lkp_AnswerStatus_Bad)</f>
        <v/>
      </c>
      <c r="N20" s="41" t="s">
        <v>183</v>
      </c>
      <c r="O20" s="89"/>
      <c r="P20" s="27" t="str">
        <f>IFERROR(IF(Tbl_B5_Help_01[[#This Row],[Start Year ("YYYY")]]="","",IF(AND(_xlfn.ISFORMULA(Tbl_B5_Help_01[[#This Row],[Start Year ("YYYY")]]),EXACT(Tbl_B5_Help_01[[#This Row],[Start Year ("YYYY")]],Tbl_B5_Help_01[[#This Row],[Start Year ("YYYY") ANS]])),Rng_Lkp_AnswerStatus_Good,Rng_Lkp_AnswerStatus_Bad)),Rng_Lkp_AnswerStatus_Bad)</f>
        <v/>
      </c>
      <c r="Q20" s="41" t="s">
        <v>190</v>
      </c>
      <c r="R20" s="89"/>
      <c r="S20" s="48" t="str">
        <f>IFERROR(IF(Tbl_B5_Help_01[[#This Row],[Full Date ("DDD, MMM D, YYYY")]]="","",IF(AND(_xlfn.ISFORMULA(Tbl_B5_Help_01[[#This Row],[Full Date ("DDD, MMM D, YYYY")]]),EXACT(Tbl_B5_Help_01[[#This Row],[Full Date ("DDD, MMM D, YYYY")]],Tbl_B5_Help_01[[#This Row],[Full Date ("DDD, MMM D, YYYY") ANS]])),Rng_Lkp_AnswerStatus_Good,Rng_Lkp_AnswerStatus_Bad)),Rng_Lkp_AnswerStatus_Bad)</f>
        <v/>
      </c>
      <c r="T20" s="41" t="s">
        <v>209</v>
      </c>
      <c r="U20" s="52"/>
      <c r="V20" s="48" t="str">
        <f>IFERROR(IF(Tbl_B5_Help_01[[#This Row],[State is "NY" AND Start Year is "2019" (TRUE/FALSE)]]="","",IF(AND(_xlfn.ISFORMULA(Tbl_B5_Help_01[[#This Row],[State is "NY" AND Start Year is "2019" (TRUE/FALSE)]]),EXACT(Tbl_B5_Help_01[[#This Row],[State is "NY" AND Start Year is "2019" (TRUE/FALSE)]],Tbl_B5_Help_01[[#This Row],[State is "NY" AND Start Year is "2019" (TRUE/FALSE) ANS]])),Rng_Lkp_AnswerStatus_Good,Rng_Lkp_AnswerStatus_Bad)),Rng_Lkp_AnswerStatus_Bad)</f>
        <v/>
      </c>
      <c r="W20" s="54" t="b">
        <v>0</v>
      </c>
      <c r="X20" s="52"/>
      <c r="Y20" s="48" t="str">
        <f>IFERROR(IF(Tbl_B5_Help_01[[#This Row],[State is "NY" OR Start Year is "2019" (TRUE/FALSE)]]="","",IF(AND(_xlfn.ISFORMULA(Tbl_B5_Help_01[[#This Row],[State is "NY" OR Start Year is "2019" (TRUE/FALSE)]]),EXACT(Tbl_B5_Help_01[[#This Row],[State is "NY" OR Start Year is "2019" (TRUE/FALSE)]],Tbl_B5_Help_01[[#This Row],[State is "NY" OR Start Year is "2019" (TRUE/FALSE) ANS]])),Rng_Lkp_AnswerStatus_Good,Rng_Lkp_AnswerStatus_Bad)),Rng_Lkp_AnswerStatus_Bad)</f>
        <v/>
      </c>
      <c r="Z20" s="54" t="b">
        <v>0</v>
      </c>
      <c r="AA20" s="52"/>
      <c r="AB20" s="48" t="str">
        <f>IFERROR(IF(Tbl_B5_Help_01[[#This Row],[If State is "NJ" OR Start Year is "2012" then "Approve", otherwise "Deny"]]="","",IF(AND(_xlfn.ISFORMULA(Tbl_B5_Help_01[[#This Row],[If State is "NJ" OR Start Year is "2012" then "Approve", otherwise "Deny"]]),EXACT(Tbl_B5_Help_01[[#This Row],[If State is "NJ" OR Start Year is "2012" then "Approve", otherwise "Deny"]],Tbl_B5_Help_01[[#This Row],[If State is "NJ" OR Start Year is "2012" then "Approve", otherwise "Deny" ANS]])),Rng_Lkp_AnswerStatus_Good,Rng_Lkp_AnswerStatus_Bad)),Rng_Lkp_AnswerStatus_Bad)</f>
        <v/>
      </c>
      <c r="AC20" s="54" t="s">
        <v>222</v>
      </c>
    </row>
    <row r="21" spans="2:29" x14ac:dyDescent="0.25">
      <c r="B21" s="14">
        <v>1495</v>
      </c>
      <c r="C21" s="14" t="s">
        <v>146</v>
      </c>
      <c r="D21" s="15" t="s">
        <v>49</v>
      </c>
      <c r="E21" s="15">
        <v>43466</v>
      </c>
      <c r="F21" s="89"/>
      <c r="G21" s="27" t="str">
        <f>IFERROR(IF(Tbl_B5_Help_01[[#This Row],[Start Weekday ("DDD")]]="","",IF(AND(_xlfn.ISFORMULA(Tbl_B5_Help_01[[#This Row],[Start Weekday ("DDD")]]),EXACT(Tbl_B5_Help_01[[#This Row],[Start Weekday ("DDD")]],Tbl_B5_Help_01[[#This Row],[Start Weekday ("DDD") ANS]])),Rng_Lkp_AnswerStatus_Good,Rng_Lkp_AnswerStatus_Bad)),Rng_Lkp_AnswerStatus_Bad)</f>
        <v/>
      </c>
      <c r="H21" s="41" t="s">
        <v>157</v>
      </c>
      <c r="I21" s="89"/>
      <c r="J21" s="27" t="str">
        <f>IFERROR(IF(Tbl_B5_Help_01[[#This Row],[Start Month ("MMM")]]="","",IF(AND(_xlfn.ISFORMULA(Tbl_B5_Help_01[[#This Row],[Start Month ("MMM")]]),EXACT(Tbl_B5_Help_01[[#This Row],[Start Month ("MMM")]],Tbl_B5_Help_01[[#This Row],[Start Month ("MMM") ANS]])),Rng_Lkp_AnswerStatus_Good,Rng_Lkp_AnswerStatus_Bad)),Rng_Lkp_AnswerStatus_Bad)</f>
        <v/>
      </c>
      <c r="K21" s="41" t="s">
        <v>163</v>
      </c>
      <c r="L21" s="89"/>
      <c r="M21" s="27" t="str">
        <f>IFERROR(IF(Tbl_B5_Help_01[[#This Row],[Start Day ("D")]]="","",IF(AND(_xlfn.ISFORMULA(Tbl_B5_Help_01[[#This Row],[Start Day ("D")]]),EXACT(Tbl_B5_Help_01[[#This Row],[Start Day ("D")]],Tbl_B5_Help_01[[#This Row],[Start Day ("D") ANS]])),Rng_Lkp_AnswerStatus_Good,Rng_Lkp_AnswerStatus_Bad)),Rng_Lkp_AnswerStatus_Bad)</f>
        <v/>
      </c>
      <c r="N21" s="41" t="s">
        <v>174</v>
      </c>
      <c r="O21" s="89"/>
      <c r="P21" s="27" t="str">
        <f>IFERROR(IF(Tbl_B5_Help_01[[#This Row],[Start Year ("YYYY")]]="","",IF(AND(_xlfn.ISFORMULA(Tbl_B5_Help_01[[#This Row],[Start Year ("YYYY")]]),EXACT(Tbl_B5_Help_01[[#This Row],[Start Year ("YYYY")]],Tbl_B5_Help_01[[#This Row],[Start Year ("YYYY") ANS]])),Rng_Lkp_AnswerStatus_Good,Rng_Lkp_AnswerStatus_Bad)),Rng_Lkp_AnswerStatus_Bad)</f>
        <v/>
      </c>
      <c r="Q21" s="41" t="s">
        <v>189</v>
      </c>
      <c r="R21" s="89"/>
      <c r="S21" s="48" t="str">
        <f>IFERROR(IF(Tbl_B5_Help_01[[#This Row],[Full Date ("DDD, MMM D, YYYY")]]="","",IF(AND(_xlfn.ISFORMULA(Tbl_B5_Help_01[[#This Row],[Full Date ("DDD, MMM D, YYYY")]]),EXACT(Tbl_B5_Help_01[[#This Row],[Full Date ("DDD, MMM D, YYYY")]],Tbl_B5_Help_01[[#This Row],[Full Date ("DDD, MMM D, YYYY") ANS]])),Rng_Lkp_AnswerStatus_Good,Rng_Lkp_AnswerStatus_Bad)),Rng_Lkp_AnswerStatus_Bad)</f>
        <v/>
      </c>
      <c r="T21" s="41" t="s">
        <v>199</v>
      </c>
      <c r="U21" s="52"/>
      <c r="V21" s="48" t="str">
        <f>IFERROR(IF(Tbl_B5_Help_01[[#This Row],[State is "NY" AND Start Year is "2019" (TRUE/FALSE)]]="","",IF(AND(_xlfn.ISFORMULA(Tbl_B5_Help_01[[#This Row],[State is "NY" AND Start Year is "2019" (TRUE/FALSE)]]),EXACT(Tbl_B5_Help_01[[#This Row],[State is "NY" AND Start Year is "2019" (TRUE/FALSE)]],Tbl_B5_Help_01[[#This Row],[State is "NY" AND Start Year is "2019" (TRUE/FALSE) ANS]])),Rng_Lkp_AnswerStatus_Good,Rng_Lkp_AnswerStatus_Bad)),Rng_Lkp_AnswerStatus_Bad)</f>
        <v/>
      </c>
      <c r="W21" s="54" t="b">
        <v>1</v>
      </c>
      <c r="X21" s="52"/>
      <c r="Y21" s="48" t="str">
        <f>IFERROR(IF(Tbl_B5_Help_01[[#This Row],[State is "NY" OR Start Year is "2019" (TRUE/FALSE)]]="","",IF(AND(_xlfn.ISFORMULA(Tbl_B5_Help_01[[#This Row],[State is "NY" OR Start Year is "2019" (TRUE/FALSE)]]),EXACT(Tbl_B5_Help_01[[#This Row],[State is "NY" OR Start Year is "2019" (TRUE/FALSE)]],Tbl_B5_Help_01[[#This Row],[State is "NY" OR Start Year is "2019" (TRUE/FALSE) ANS]])),Rng_Lkp_AnswerStatus_Good,Rng_Lkp_AnswerStatus_Bad)),Rng_Lkp_AnswerStatus_Bad)</f>
        <v/>
      </c>
      <c r="Z21" s="54" t="b">
        <v>1</v>
      </c>
      <c r="AA21" s="52"/>
      <c r="AB21" s="48" t="str">
        <f>IFERROR(IF(Tbl_B5_Help_01[[#This Row],[If State is "NJ" OR Start Year is "2012" then "Approve", otherwise "Deny"]]="","",IF(AND(_xlfn.ISFORMULA(Tbl_B5_Help_01[[#This Row],[If State is "NJ" OR Start Year is "2012" then "Approve", otherwise "Deny"]]),EXACT(Tbl_B5_Help_01[[#This Row],[If State is "NJ" OR Start Year is "2012" then "Approve", otherwise "Deny"]],Tbl_B5_Help_01[[#This Row],[If State is "NJ" OR Start Year is "2012" then "Approve", otherwise "Deny" ANS]])),Rng_Lkp_AnswerStatus_Good,Rng_Lkp_AnswerStatus_Bad)),Rng_Lkp_AnswerStatus_Bad)</f>
        <v/>
      </c>
      <c r="AC21" s="54" t="s">
        <v>221</v>
      </c>
    </row>
    <row r="22" spans="2:29" x14ac:dyDescent="0.25">
      <c r="B22" s="14">
        <v>1131</v>
      </c>
      <c r="C22" s="14" t="s">
        <v>19</v>
      </c>
      <c r="D22" s="15" t="s">
        <v>51</v>
      </c>
      <c r="E22" s="15">
        <v>41120</v>
      </c>
      <c r="F22" s="89"/>
      <c r="G22" s="27" t="str">
        <f>IFERROR(IF(Tbl_B5_Help_01[[#This Row],[Start Weekday ("DDD")]]="","",IF(AND(_xlfn.ISFORMULA(Tbl_B5_Help_01[[#This Row],[Start Weekday ("DDD")]]),EXACT(Tbl_B5_Help_01[[#This Row],[Start Weekday ("DDD")]],Tbl_B5_Help_01[[#This Row],[Start Weekday ("DDD") ANS]])),Rng_Lkp_AnswerStatus_Good,Rng_Lkp_AnswerStatus_Bad)),Rng_Lkp_AnswerStatus_Bad)</f>
        <v/>
      </c>
      <c r="H22" s="41" t="s">
        <v>158</v>
      </c>
      <c r="I22" s="89"/>
      <c r="J22" s="27" t="str">
        <f>IFERROR(IF(Tbl_B5_Help_01[[#This Row],[Start Month ("MMM")]]="","",IF(AND(_xlfn.ISFORMULA(Tbl_B5_Help_01[[#This Row],[Start Month ("MMM")]]),EXACT(Tbl_B5_Help_01[[#This Row],[Start Month ("MMM")]],Tbl_B5_Help_01[[#This Row],[Start Month ("MMM") ANS]])),Rng_Lkp_AnswerStatus_Good,Rng_Lkp_AnswerStatus_Bad)),Rng_Lkp_AnswerStatus_Bad)</f>
        <v/>
      </c>
      <c r="K22" s="41" t="s">
        <v>168</v>
      </c>
      <c r="L22" s="89"/>
      <c r="M22" s="27" t="str">
        <f>IFERROR(IF(Tbl_B5_Help_01[[#This Row],[Start Day ("D")]]="","",IF(AND(_xlfn.ISFORMULA(Tbl_B5_Help_01[[#This Row],[Start Day ("D")]]),EXACT(Tbl_B5_Help_01[[#This Row],[Start Day ("D")]],Tbl_B5_Help_01[[#This Row],[Start Day ("D") ANS]])),Rng_Lkp_AnswerStatus_Good,Rng_Lkp_AnswerStatus_Bad)),Rng_Lkp_AnswerStatus_Bad)</f>
        <v/>
      </c>
      <c r="N22" s="41" t="s">
        <v>182</v>
      </c>
      <c r="O22" s="89"/>
      <c r="P22" s="27" t="str">
        <f>IFERROR(IF(Tbl_B5_Help_01[[#This Row],[Start Year ("YYYY")]]="","",IF(AND(_xlfn.ISFORMULA(Tbl_B5_Help_01[[#This Row],[Start Year ("YYYY")]]),EXACT(Tbl_B5_Help_01[[#This Row],[Start Year ("YYYY")]],Tbl_B5_Help_01[[#This Row],[Start Year ("YYYY") ANS]])),Rng_Lkp_AnswerStatus_Good,Rng_Lkp_AnswerStatus_Bad)),Rng_Lkp_AnswerStatus_Bad)</f>
        <v/>
      </c>
      <c r="Q22" s="41" t="s">
        <v>190</v>
      </c>
      <c r="R22" s="89"/>
      <c r="S22" s="48" t="str">
        <f>IFERROR(IF(Tbl_B5_Help_01[[#This Row],[Full Date ("DDD, MMM D, YYYY")]]="","",IF(AND(_xlfn.ISFORMULA(Tbl_B5_Help_01[[#This Row],[Full Date ("DDD, MMM D, YYYY")]]),EXACT(Tbl_B5_Help_01[[#This Row],[Full Date ("DDD, MMM D, YYYY")]],Tbl_B5_Help_01[[#This Row],[Full Date ("DDD, MMM D, YYYY") ANS]])),Rng_Lkp_AnswerStatus_Good,Rng_Lkp_AnswerStatus_Bad)),Rng_Lkp_AnswerStatus_Bad)</f>
        <v/>
      </c>
      <c r="T22" s="41" t="s">
        <v>210</v>
      </c>
      <c r="U22" s="52"/>
      <c r="V22" s="48" t="str">
        <f>IFERROR(IF(Tbl_B5_Help_01[[#This Row],[State is "NY" AND Start Year is "2019" (TRUE/FALSE)]]="","",IF(AND(_xlfn.ISFORMULA(Tbl_B5_Help_01[[#This Row],[State is "NY" AND Start Year is "2019" (TRUE/FALSE)]]),EXACT(Tbl_B5_Help_01[[#This Row],[State is "NY" AND Start Year is "2019" (TRUE/FALSE)]],Tbl_B5_Help_01[[#This Row],[State is "NY" AND Start Year is "2019" (TRUE/FALSE) ANS]])),Rng_Lkp_AnswerStatus_Good,Rng_Lkp_AnswerStatus_Bad)),Rng_Lkp_AnswerStatus_Bad)</f>
        <v/>
      </c>
      <c r="W22" s="54" t="b">
        <v>0</v>
      </c>
      <c r="X22" s="52"/>
      <c r="Y22" s="48" t="str">
        <f>IFERROR(IF(Tbl_B5_Help_01[[#This Row],[State is "NY" OR Start Year is "2019" (TRUE/FALSE)]]="","",IF(AND(_xlfn.ISFORMULA(Tbl_B5_Help_01[[#This Row],[State is "NY" OR Start Year is "2019" (TRUE/FALSE)]]),EXACT(Tbl_B5_Help_01[[#This Row],[State is "NY" OR Start Year is "2019" (TRUE/FALSE)]],Tbl_B5_Help_01[[#This Row],[State is "NY" OR Start Year is "2019" (TRUE/FALSE) ANS]])),Rng_Lkp_AnswerStatus_Good,Rng_Lkp_AnswerStatus_Bad)),Rng_Lkp_AnswerStatus_Bad)</f>
        <v/>
      </c>
      <c r="Z22" s="54" t="b">
        <v>0</v>
      </c>
      <c r="AA22" s="52"/>
      <c r="AB22" s="48" t="str">
        <f>IFERROR(IF(Tbl_B5_Help_01[[#This Row],[If State is "NJ" OR Start Year is "2012" then "Approve", otherwise "Deny"]]="","",IF(AND(_xlfn.ISFORMULA(Tbl_B5_Help_01[[#This Row],[If State is "NJ" OR Start Year is "2012" then "Approve", otherwise "Deny"]]),EXACT(Tbl_B5_Help_01[[#This Row],[If State is "NJ" OR Start Year is "2012" then "Approve", otherwise "Deny"]],Tbl_B5_Help_01[[#This Row],[If State is "NJ" OR Start Year is "2012" then "Approve", otherwise "Deny" ANS]])),Rng_Lkp_AnswerStatus_Good,Rng_Lkp_AnswerStatus_Bad)),Rng_Lkp_AnswerStatus_Bad)</f>
        <v/>
      </c>
      <c r="AC22" s="54" t="s">
        <v>222</v>
      </c>
    </row>
    <row r="23" spans="2:29" x14ac:dyDescent="0.25">
      <c r="B23" s="14">
        <v>2314</v>
      </c>
      <c r="C23" s="14" t="s">
        <v>147</v>
      </c>
      <c r="D23" s="15" t="s">
        <v>51</v>
      </c>
      <c r="E23" s="15">
        <v>42054</v>
      </c>
      <c r="F23" s="89"/>
      <c r="G23" s="27" t="str">
        <f>IFERROR(IF(Tbl_B5_Help_01[[#This Row],[Start Weekday ("DDD")]]="","",IF(AND(_xlfn.ISFORMULA(Tbl_B5_Help_01[[#This Row],[Start Weekday ("DDD")]]),EXACT(Tbl_B5_Help_01[[#This Row],[Start Weekday ("DDD")]],Tbl_B5_Help_01[[#This Row],[Start Weekday ("DDD") ANS]])),Rng_Lkp_AnswerStatus_Good,Rng_Lkp_AnswerStatus_Bad)),Rng_Lkp_AnswerStatus_Bad)</f>
        <v/>
      </c>
      <c r="H23" s="41" t="s">
        <v>161</v>
      </c>
      <c r="I23" s="89"/>
      <c r="J23" s="27" t="str">
        <f>IFERROR(IF(Tbl_B5_Help_01[[#This Row],[Start Month ("MMM")]]="","",IF(AND(_xlfn.ISFORMULA(Tbl_B5_Help_01[[#This Row],[Start Month ("MMM")]]),EXACT(Tbl_B5_Help_01[[#This Row],[Start Month ("MMM")]],Tbl_B5_Help_01[[#This Row],[Start Month ("MMM") ANS]])),Rng_Lkp_AnswerStatus_Good,Rng_Lkp_AnswerStatus_Bad)),Rng_Lkp_AnswerStatus_Bad)</f>
        <v/>
      </c>
      <c r="K23" s="41" t="s">
        <v>170</v>
      </c>
      <c r="L23" s="89"/>
      <c r="M23" s="27" t="str">
        <f>IFERROR(IF(Tbl_B5_Help_01[[#This Row],[Start Day ("D")]]="","",IF(AND(_xlfn.ISFORMULA(Tbl_B5_Help_01[[#This Row],[Start Day ("D")]]),EXACT(Tbl_B5_Help_01[[#This Row],[Start Day ("D")]],Tbl_B5_Help_01[[#This Row],[Start Day ("D") ANS]])),Rng_Lkp_AnswerStatus_Good,Rng_Lkp_AnswerStatus_Bad)),Rng_Lkp_AnswerStatus_Bad)</f>
        <v/>
      </c>
      <c r="N23" s="41" t="s">
        <v>184</v>
      </c>
      <c r="O23" s="89"/>
      <c r="P23" s="27" t="str">
        <f>IFERROR(IF(Tbl_B5_Help_01[[#This Row],[Start Year ("YYYY")]]="","",IF(AND(_xlfn.ISFORMULA(Tbl_B5_Help_01[[#This Row],[Start Year ("YYYY")]]),EXACT(Tbl_B5_Help_01[[#This Row],[Start Year ("YYYY")]],Tbl_B5_Help_01[[#This Row],[Start Year ("YYYY") ANS]])),Rng_Lkp_AnswerStatus_Good,Rng_Lkp_AnswerStatus_Bad)),Rng_Lkp_AnswerStatus_Bad)</f>
        <v/>
      </c>
      <c r="Q23" s="41" t="s">
        <v>193</v>
      </c>
      <c r="R23" s="89"/>
      <c r="S23" s="48" t="str">
        <f>IFERROR(IF(Tbl_B5_Help_01[[#This Row],[Full Date ("DDD, MMM D, YYYY")]]="","",IF(AND(_xlfn.ISFORMULA(Tbl_B5_Help_01[[#This Row],[Full Date ("DDD, MMM D, YYYY")]]),EXACT(Tbl_B5_Help_01[[#This Row],[Full Date ("DDD, MMM D, YYYY")]],Tbl_B5_Help_01[[#This Row],[Full Date ("DDD, MMM D, YYYY") ANS]])),Rng_Lkp_AnswerStatus_Good,Rng_Lkp_AnswerStatus_Bad)),Rng_Lkp_AnswerStatus_Bad)</f>
        <v/>
      </c>
      <c r="T23" s="41" t="s">
        <v>211</v>
      </c>
      <c r="U23" s="52"/>
      <c r="V23" s="48" t="str">
        <f>IFERROR(IF(Tbl_B5_Help_01[[#This Row],[State is "NY" AND Start Year is "2019" (TRUE/FALSE)]]="","",IF(AND(_xlfn.ISFORMULA(Tbl_B5_Help_01[[#This Row],[State is "NY" AND Start Year is "2019" (TRUE/FALSE)]]),EXACT(Tbl_B5_Help_01[[#This Row],[State is "NY" AND Start Year is "2019" (TRUE/FALSE)]],Tbl_B5_Help_01[[#This Row],[State is "NY" AND Start Year is "2019" (TRUE/FALSE) ANS]])),Rng_Lkp_AnswerStatus_Good,Rng_Lkp_AnswerStatus_Bad)),Rng_Lkp_AnswerStatus_Bad)</f>
        <v/>
      </c>
      <c r="W23" s="54" t="b">
        <v>0</v>
      </c>
      <c r="X23" s="52"/>
      <c r="Y23" s="48" t="str">
        <f>IFERROR(IF(Tbl_B5_Help_01[[#This Row],[State is "NY" OR Start Year is "2019" (TRUE/FALSE)]]="","",IF(AND(_xlfn.ISFORMULA(Tbl_B5_Help_01[[#This Row],[State is "NY" OR Start Year is "2019" (TRUE/FALSE)]]),EXACT(Tbl_B5_Help_01[[#This Row],[State is "NY" OR Start Year is "2019" (TRUE/FALSE)]],Tbl_B5_Help_01[[#This Row],[State is "NY" OR Start Year is "2019" (TRUE/FALSE) ANS]])),Rng_Lkp_AnswerStatus_Good,Rng_Lkp_AnswerStatus_Bad)),Rng_Lkp_AnswerStatus_Bad)</f>
        <v/>
      </c>
      <c r="Z23" s="54" t="b">
        <v>0</v>
      </c>
      <c r="AA23" s="52"/>
      <c r="AB23" s="48" t="str">
        <f>IFERROR(IF(Tbl_B5_Help_01[[#This Row],[If State is "NJ" OR Start Year is "2012" then "Approve", otherwise "Deny"]]="","",IF(AND(_xlfn.ISFORMULA(Tbl_B5_Help_01[[#This Row],[If State is "NJ" OR Start Year is "2012" then "Approve", otherwise "Deny"]]),EXACT(Tbl_B5_Help_01[[#This Row],[If State is "NJ" OR Start Year is "2012" then "Approve", otherwise "Deny"]],Tbl_B5_Help_01[[#This Row],[If State is "NJ" OR Start Year is "2012" then "Approve", otherwise "Deny" ANS]])),Rng_Lkp_AnswerStatus_Good,Rng_Lkp_AnswerStatus_Bad)),Rng_Lkp_AnswerStatus_Bad)</f>
        <v/>
      </c>
      <c r="AC23" s="54" t="s">
        <v>222</v>
      </c>
    </row>
    <row r="24" spans="2:29" x14ac:dyDescent="0.25">
      <c r="B24" s="14">
        <v>2304</v>
      </c>
      <c r="C24" s="14" t="s">
        <v>20</v>
      </c>
      <c r="D24" s="15" t="s">
        <v>49</v>
      </c>
      <c r="E24" s="15">
        <v>43025</v>
      </c>
      <c r="F24" s="89"/>
      <c r="G24" s="27" t="str">
        <f>IFERROR(IF(Tbl_B5_Help_01[[#This Row],[Start Weekday ("DDD")]]="","",IF(AND(_xlfn.ISFORMULA(Tbl_B5_Help_01[[#This Row],[Start Weekday ("DDD")]]),EXACT(Tbl_B5_Help_01[[#This Row],[Start Weekday ("DDD")]],Tbl_B5_Help_01[[#This Row],[Start Weekday ("DDD") ANS]])),Rng_Lkp_AnswerStatus_Good,Rng_Lkp_AnswerStatus_Bad)),Rng_Lkp_AnswerStatus_Bad)</f>
        <v/>
      </c>
      <c r="H24" s="41" t="s">
        <v>157</v>
      </c>
      <c r="I24" s="89"/>
      <c r="J24" s="27" t="str">
        <f>IFERROR(IF(Tbl_B5_Help_01[[#This Row],[Start Month ("MMM")]]="","",IF(AND(_xlfn.ISFORMULA(Tbl_B5_Help_01[[#This Row],[Start Month ("MMM")]]),EXACT(Tbl_B5_Help_01[[#This Row],[Start Month ("MMM")]],Tbl_B5_Help_01[[#This Row],[Start Month ("MMM") ANS]])),Rng_Lkp_AnswerStatus_Good,Rng_Lkp_AnswerStatus_Bad)),Rng_Lkp_AnswerStatus_Bad)</f>
        <v/>
      </c>
      <c r="K24" s="41" t="s">
        <v>167</v>
      </c>
      <c r="L24" s="89"/>
      <c r="M24" s="27" t="str">
        <f>IFERROR(IF(Tbl_B5_Help_01[[#This Row],[Start Day ("D")]]="","",IF(AND(_xlfn.ISFORMULA(Tbl_B5_Help_01[[#This Row],[Start Day ("D")]]),EXACT(Tbl_B5_Help_01[[#This Row],[Start Day ("D")]],Tbl_B5_Help_01[[#This Row],[Start Day ("D") ANS]])),Rng_Lkp_AnswerStatus_Good,Rng_Lkp_AnswerStatus_Bad)),Rng_Lkp_AnswerStatus_Bad)</f>
        <v/>
      </c>
      <c r="N24" s="41" t="s">
        <v>185</v>
      </c>
      <c r="O24" s="89"/>
      <c r="P24" s="27" t="str">
        <f>IFERROR(IF(Tbl_B5_Help_01[[#This Row],[Start Year ("YYYY")]]="","",IF(AND(_xlfn.ISFORMULA(Tbl_B5_Help_01[[#This Row],[Start Year ("YYYY")]]),EXACT(Tbl_B5_Help_01[[#This Row],[Start Year ("YYYY")]],Tbl_B5_Help_01[[#This Row],[Start Year ("YYYY") ANS]])),Rng_Lkp_AnswerStatus_Good,Rng_Lkp_AnswerStatus_Bad)),Rng_Lkp_AnswerStatus_Bad)</f>
        <v/>
      </c>
      <c r="Q24" s="41" t="s">
        <v>191</v>
      </c>
      <c r="R24" s="89"/>
      <c r="S24" s="48" t="str">
        <f>IFERROR(IF(Tbl_B5_Help_01[[#This Row],[Full Date ("DDD, MMM D, YYYY")]]="","",IF(AND(_xlfn.ISFORMULA(Tbl_B5_Help_01[[#This Row],[Full Date ("DDD, MMM D, YYYY")]]),EXACT(Tbl_B5_Help_01[[#This Row],[Full Date ("DDD, MMM D, YYYY")]],Tbl_B5_Help_01[[#This Row],[Full Date ("DDD, MMM D, YYYY") ANS]])),Rng_Lkp_AnswerStatus_Good,Rng_Lkp_AnswerStatus_Bad)),Rng_Lkp_AnswerStatus_Bad)</f>
        <v/>
      </c>
      <c r="T24" s="41" t="s">
        <v>212</v>
      </c>
      <c r="U24" s="52"/>
      <c r="V24" s="48" t="str">
        <f>IFERROR(IF(Tbl_B5_Help_01[[#This Row],[State is "NY" AND Start Year is "2019" (TRUE/FALSE)]]="","",IF(AND(_xlfn.ISFORMULA(Tbl_B5_Help_01[[#This Row],[State is "NY" AND Start Year is "2019" (TRUE/FALSE)]]),EXACT(Tbl_B5_Help_01[[#This Row],[State is "NY" AND Start Year is "2019" (TRUE/FALSE)]],Tbl_B5_Help_01[[#This Row],[State is "NY" AND Start Year is "2019" (TRUE/FALSE) ANS]])),Rng_Lkp_AnswerStatus_Good,Rng_Lkp_AnswerStatus_Bad)),Rng_Lkp_AnswerStatus_Bad)</f>
        <v/>
      </c>
      <c r="W24" s="54" t="b">
        <v>0</v>
      </c>
      <c r="X24" s="52"/>
      <c r="Y24" s="48" t="str">
        <f>IFERROR(IF(Tbl_B5_Help_01[[#This Row],[State is "NY" OR Start Year is "2019" (TRUE/FALSE)]]="","",IF(AND(_xlfn.ISFORMULA(Tbl_B5_Help_01[[#This Row],[State is "NY" OR Start Year is "2019" (TRUE/FALSE)]]),EXACT(Tbl_B5_Help_01[[#This Row],[State is "NY" OR Start Year is "2019" (TRUE/FALSE)]],Tbl_B5_Help_01[[#This Row],[State is "NY" OR Start Year is "2019" (TRUE/FALSE) ANS]])),Rng_Lkp_AnswerStatus_Good,Rng_Lkp_AnswerStatus_Bad)),Rng_Lkp_AnswerStatus_Bad)</f>
        <v/>
      </c>
      <c r="Z24" s="54" t="b">
        <v>1</v>
      </c>
      <c r="AA24" s="52"/>
      <c r="AB24" s="48" t="str">
        <f>IFERROR(IF(Tbl_B5_Help_01[[#This Row],[If State is "NJ" OR Start Year is "2012" then "Approve", otherwise "Deny"]]="","",IF(AND(_xlfn.ISFORMULA(Tbl_B5_Help_01[[#This Row],[If State is "NJ" OR Start Year is "2012" then "Approve", otherwise "Deny"]]),EXACT(Tbl_B5_Help_01[[#This Row],[If State is "NJ" OR Start Year is "2012" then "Approve", otherwise "Deny"]],Tbl_B5_Help_01[[#This Row],[If State is "NJ" OR Start Year is "2012" then "Approve", otherwise "Deny" ANS]])),Rng_Lkp_AnswerStatus_Good,Rng_Lkp_AnswerStatus_Bad)),Rng_Lkp_AnswerStatus_Bad)</f>
        <v/>
      </c>
      <c r="AC24" s="54" t="s">
        <v>221</v>
      </c>
    </row>
    <row r="25" spans="2:29" x14ac:dyDescent="0.25">
      <c r="B25" s="14">
        <v>3694</v>
      </c>
      <c r="C25" s="14" t="s">
        <v>21</v>
      </c>
      <c r="D25" s="15" t="s">
        <v>57</v>
      </c>
      <c r="E25" s="15">
        <v>43466</v>
      </c>
      <c r="F25" s="89"/>
      <c r="G25" s="27" t="str">
        <f>IFERROR(IF(Tbl_B5_Help_01[[#This Row],[Start Weekday ("DDD")]]="","",IF(AND(_xlfn.ISFORMULA(Tbl_B5_Help_01[[#This Row],[Start Weekday ("DDD")]]),EXACT(Tbl_B5_Help_01[[#This Row],[Start Weekday ("DDD")]],Tbl_B5_Help_01[[#This Row],[Start Weekday ("DDD") ANS]])),Rng_Lkp_AnswerStatus_Good,Rng_Lkp_AnswerStatus_Bad)),Rng_Lkp_AnswerStatus_Bad)</f>
        <v/>
      </c>
      <c r="H25" s="41" t="s">
        <v>157</v>
      </c>
      <c r="I25" s="89"/>
      <c r="J25" s="27" t="str">
        <f>IFERROR(IF(Tbl_B5_Help_01[[#This Row],[Start Month ("MMM")]]="","",IF(AND(_xlfn.ISFORMULA(Tbl_B5_Help_01[[#This Row],[Start Month ("MMM")]]),EXACT(Tbl_B5_Help_01[[#This Row],[Start Month ("MMM")]],Tbl_B5_Help_01[[#This Row],[Start Month ("MMM") ANS]])),Rng_Lkp_AnswerStatus_Good,Rng_Lkp_AnswerStatus_Bad)),Rng_Lkp_AnswerStatus_Bad)</f>
        <v/>
      </c>
      <c r="K25" s="41" t="s">
        <v>163</v>
      </c>
      <c r="L25" s="89"/>
      <c r="M25" s="27" t="str">
        <f>IFERROR(IF(Tbl_B5_Help_01[[#This Row],[Start Day ("D")]]="","",IF(AND(_xlfn.ISFORMULA(Tbl_B5_Help_01[[#This Row],[Start Day ("D")]]),EXACT(Tbl_B5_Help_01[[#This Row],[Start Day ("D")]],Tbl_B5_Help_01[[#This Row],[Start Day ("D") ANS]])),Rng_Lkp_AnswerStatus_Good,Rng_Lkp_AnswerStatus_Bad)),Rng_Lkp_AnswerStatus_Bad)</f>
        <v/>
      </c>
      <c r="N25" s="41" t="s">
        <v>174</v>
      </c>
      <c r="O25" s="89"/>
      <c r="P25" s="27" t="str">
        <f>IFERROR(IF(Tbl_B5_Help_01[[#This Row],[Start Year ("YYYY")]]="","",IF(AND(_xlfn.ISFORMULA(Tbl_B5_Help_01[[#This Row],[Start Year ("YYYY")]]),EXACT(Tbl_B5_Help_01[[#This Row],[Start Year ("YYYY")]],Tbl_B5_Help_01[[#This Row],[Start Year ("YYYY") ANS]])),Rng_Lkp_AnswerStatus_Good,Rng_Lkp_AnswerStatus_Bad)),Rng_Lkp_AnswerStatus_Bad)</f>
        <v/>
      </c>
      <c r="Q25" s="41" t="s">
        <v>189</v>
      </c>
      <c r="R25" s="89"/>
      <c r="S25" s="48" t="str">
        <f>IFERROR(IF(Tbl_B5_Help_01[[#This Row],[Full Date ("DDD, MMM D, YYYY")]]="","",IF(AND(_xlfn.ISFORMULA(Tbl_B5_Help_01[[#This Row],[Full Date ("DDD, MMM D, YYYY")]]),EXACT(Tbl_B5_Help_01[[#This Row],[Full Date ("DDD, MMM D, YYYY")]],Tbl_B5_Help_01[[#This Row],[Full Date ("DDD, MMM D, YYYY") ANS]])),Rng_Lkp_AnswerStatus_Good,Rng_Lkp_AnswerStatus_Bad)),Rng_Lkp_AnswerStatus_Bad)</f>
        <v/>
      </c>
      <c r="T25" s="41" t="s">
        <v>199</v>
      </c>
      <c r="U25" s="52"/>
      <c r="V25" s="48" t="str">
        <f>IFERROR(IF(Tbl_B5_Help_01[[#This Row],[State is "NY" AND Start Year is "2019" (TRUE/FALSE)]]="","",IF(AND(_xlfn.ISFORMULA(Tbl_B5_Help_01[[#This Row],[State is "NY" AND Start Year is "2019" (TRUE/FALSE)]]),EXACT(Tbl_B5_Help_01[[#This Row],[State is "NY" AND Start Year is "2019" (TRUE/FALSE)]],Tbl_B5_Help_01[[#This Row],[State is "NY" AND Start Year is "2019" (TRUE/FALSE) ANS]])),Rng_Lkp_AnswerStatus_Good,Rng_Lkp_AnswerStatus_Bad)),Rng_Lkp_AnswerStatus_Bad)</f>
        <v/>
      </c>
      <c r="W25" s="54" t="b">
        <v>0</v>
      </c>
      <c r="X25" s="52"/>
      <c r="Y25" s="48" t="str">
        <f>IFERROR(IF(Tbl_B5_Help_01[[#This Row],[State is "NY" OR Start Year is "2019" (TRUE/FALSE)]]="","",IF(AND(_xlfn.ISFORMULA(Tbl_B5_Help_01[[#This Row],[State is "NY" OR Start Year is "2019" (TRUE/FALSE)]]),EXACT(Tbl_B5_Help_01[[#This Row],[State is "NY" OR Start Year is "2019" (TRUE/FALSE)]],Tbl_B5_Help_01[[#This Row],[State is "NY" OR Start Year is "2019" (TRUE/FALSE) ANS]])),Rng_Lkp_AnswerStatus_Good,Rng_Lkp_AnswerStatus_Bad)),Rng_Lkp_AnswerStatus_Bad)</f>
        <v/>
      </c>
      <c r="Z25" s="54" t="b">
        <v>1</v>
      </c>
      <c r="AA25" s="52"/>
      <c r="AB25" s="48" t="str">
        <f>IFERROR(IF(Tbl_B5_Help_01[[#This Row],[If State is "NJ" OR Start Year is "2012" then "Approve", otherwise "Deny"]]="","",IF(AND(_xlfn.ISFORMULA(Tbl_B5_Help_01[[#This Row],[If State is "NJ" OR Start Year is "2012" then "Approve", otherwise "Deny"]]),EXACT(Tbl_B5_Help_01[[#This Row],[If State is "NJ" OR Start Year is "2012" then "Approve", otherwise "Deny"]],Tbl_B5_Help_01[[#This Row],[If State is "NJ" OR Start Year is "2012" then "Approve", otherwise "Deny" ANS]])),Rng_Lkp_AnswerStatus_Good,Rng_Lkp_AnswerStatus_Bad)),Rng_Lkp_AnswerStatus_Bad)</f>
        <v/>
      </c>
      <c r="AC25" s="54" t="s">
        <v>221</v>
      </c>
    </row>
    <row r="26" spans="2:29" x14ac:dyDescent="0.25">
      <c r="B26" s="14">
        <v>4522</v>
      </c>
      <c r="C26" s="14" t="s">
        <v>22</v>
      </c>
      <c r="D26" s="15" t="s">
        <v>56</v>
      </c>
      <c r="E26" s="15">
        <v>43466</v>
      </c>
      <c r="F26" s="89"/>
      <c r="G26" s="27" t="str">
        <f>IFERROR(IF(Tbl_B5_Help_01[[#This Row],[Start Weekday ("DDD")]]="","",IF(AND(_xlfn.ISFORMULA(Tbl_B5_Help_01[[#This Row],[Start Weekday ("DDD")]]),EXACT(Tbl_B5_Help_01[[#This Row],[Start Weekday ("DDD")]],Tbl_B5_Help_01[[#This Row],[Start Weekday ("DDD") ANS]])),Rng_Lkp_AnswerStatus_Good,Rng_Lkp_AnswerStatus_Bad)),Rng_Lkp_AnswerStatus_Bad)</f>
        <v/>
      </c>
      <c r="H26" s="41" t="s">
        <v>157</v>
      </c>
      <c r="I26" s="89"/>
      <c r="J26" s="27" t="str">
        <f>IFERROR(IF(Tbl_B5_Help_01[[#This Row],[Start Month ("MMM")]]="","",IF(AND(_xlfn.ISFORMULA(Tbl_B5_Help_01[[#This Row],[Start Month ("MMM")]]),EXACT(Tbl_B5_Help_01[[#This Row],[Start Month ("MMM")]],Tbl_B5_Help_01[[#This Row],[Start Month ("MMM") ANS]])),Rng_Lkp_AnswerStatus_Good,Rng_Lkp_AnswerStatus_Bad)),Rng_Lkp_AnswerStatus_Bad)</f>
        <v/>
      </c>
      <c r="K26" s="41" t="s">
        <v>163</v>
      </c>
      <c r="L26" s="89"/>
      <c r="M26" s="27" t="str">
        <f>IFERROR(IF(Tbl_B5_Help_01[[#This Row],[Start Day ("D")]]="","",IF(AND(_xlfn.ISFORMULA(Tbl_B5_Help_01[[#This Row],[Start Day ("D")]]),EXACT(Tbl_B5_Help_01[[#This Row],[Start Day ("D")]],Tbl_B5_Help_01[[#This Row],[Start Day ("D") ANS]])),Rng_Lkp_AnswerStatus_Good,Rng_Lkp_AnswerStatus_Bad)),Rng_Lkp_AnswerStatus_Bad)</f>
        <v/>
      </c>
      <c r="N26" s="41" t="s">
        <v>174</v>
      </c>
      <c r="O26" s="89"/>
      <c r="P26" s="27" t="str">
        <f>IFERROR(IF(Tbl_B5_Help_01[[#This Row],[Start Year ("YYYY")]]="","",IF(AND(_xlfn.ISFORMULA(Tbl_B5_Help_01[[#This Row],[Start Year ("YYYY")]]),EXACT(Tbl_B5_Help_01[[#This Row],[Start Year ("YYYY")]],Tbl_B5_Help_01[[#This Row],[Start Year ("YYYY") ANS]])),Rng_Lkp_AnswerStatus_Good,Rng_Lkp_AnswerStatus_Bad)),Rng_Lkp_AnswerStatus_Bad)</f>
        <v/>
      </c>
      <c r="Q26" s="41" t="s">
        <v>189</v>
      </c>
      <c r="R26" s="89"/>
      <c r="S26" s="48" t="str">
        <f>IFERROR(IF(Tbl_B5_Help_01[[#This Row],[Full Date ("DDD, MMM D, YYYY")]]="","",IF(AND(_xlfn.ISFORMULA(Tbl_B5_Help_01[[#This Row],[Full Date ("DDD, MMM D, YYYY")]]),EXACT(Tbl_B5_Help_01[[#This Row],[Full Date ("DDD, MMM D, YYYY")]],Tbl_B5_Help_01[[#This Row],[Full Date ("DDD, MMM D, YYYY") ANS]])),Rng_Lkp_AnswerStatus_Good,Rng_Lkp_AnswerStatus_Bad)),Rng_Lkp_AnswerStatus_Bad)</f>
        <v/>
      </c>
      <c r="T26" s="41" t="s">
        <v>199</v>
      </c>
      <c r="U26" s="52"/>
      <c r="V26" s="48" t="str">
        <f>IFERROR(IF(Tbl_B5_Help_01[[#This Row],[State is "NY" AND Start Year is "2019" (TRUE/FALSE)]]="","",IF(AND(_xlfn.ISFORMULA(Tbl_B5_Help_01[[#This Row],[State is "NY" AND Start Year is "2019" (TRUE/FALSE)]]),EXACT(Tbl_B5_Help_01[[#This Row],[State is "NY" AND Start Year is "2019" (TRUE/FALSE)]],Tbl_B5_Help_01[[#This Row],[State is "NY" AND Start Year is "2019" (TRUE/FALSE) ANS]])),Rng_Lkp_AnswerStatus_Good,Rng_Lkp_AnswerStatus_Bad)),Rng_Lkp_AnswerStatus_Bad)</f>
        <v/>
      </c>
      <c r="W26" s="54" t="b">
        <v>0</v>
      </c>
      <c r="X26" s="52"/>
      <c r="Y26" s="48" t="str">
        <f>IFERROR(IF(Tbl_B5_Help_01[[#This Row],[State is "NY" OR Start Year is "2019" (TRUE/FALSE)]]="","",IF(AND(_xlfn.ISFORMULA(Tbl_B5_Help_01[[#This Row],[State is "NY" OR Start Year is "2019" (TRUE/FALSE)]]),EXACT(Tbl_B5_Help_01[[#This Row],[State is "NY" OR Start Year is "2019" (TRUE/FALSE)]],Tbl_B5_Help_01[[#This Row],[State is "NY" OR Start Year is "2019" (TRUE/FALSE) ANS]])),Rng_Lkp_AnswerStatus_Good,Rng_Lkp_AnswerStatus_Bad)),Rng_Lkp_AnswerStatus_Bad)</f>
        <v/>
      </c>
      <c r="Z26" s="54" t="b">
        <v>1</v>
      </c>
      <c r="AA26" s="52"/>
      <c r="AB26" s="48" t="str">
        <f>IFERROR(IF(Tbl_B5_Help_01[[#This Row],[If State is "NJ" OR Start Year is "2012" then "Approve", otherwise "Deny"]]="","",IF(AND(_xlfn.ISFORMULA(Tbl_B5_Help_01[[#This Row],[If State is "NJ" OR Start Year is "2012" then "Approve", otherwise "Deny"]]),EXACT(Tbl_B5_Help_01[[#This Row],[If State is "NJ" OR Start Year is "2012" then "Approve", otherwise "Deny"]],Tbl_B5_Help_01[[#This Row],[If State is "NJ" OR Start Year is "2012" then "Approve", otherwise "Deny" ANS]])),Rng_Lkp_AnswerStatus_Good,Rng_Lkp_AnswerStatus_Bad)),Rng_Lkp_AnswerStatus_Bad)</f>
        <v/>
      </c>
      <c r="AC26" s="54" t="s">
        <v>221</v>
      </c>
    </row>
    <row r="27" spans="2:29" x14ac:dyDescent="0.25">
      <c r="B27" s="14">
        <v>1198</v>
      </c>
      <c r="C27" s="14" t="s">
        <v>148</v>
      </c>
      <c r="D27" s="15" t="s">
        <v>49</v>
      </c>
      <c r="E27" s="15">
        <v>41905</v>
      </c>
      <c r="F27" s="89"/>
      <c r="G27" s="27" t="str">
        <f>IFERROR(IF(Tbl_B5_Help_01[[#This Row],[Start Weekday ("DDD")]]="","",IF(AND(_xlfn.ISFORMULA(Tbl_B5_Help_01[[#This Row],[Start Weekday ("DDD")]]),EXACT(Tbl_B5_Help_01[[#This Row],[Start Weekday ("DDD")]],Tbl_B5_Help_01[[#This Row],[Start Weekday ("DDD") ANS]])),Rng_Lkp_AnswerStatus_Good,Rng_Lkp_AnswerStatus_Bad)),Rng_Lkp_AnswerStatus_Bad)</f>
        <v/>
      </c>
      <c r="H27" s="41" t="s">
        <v>157</v>
      </c>
      <c r="I27" s="89"/>
      <c r="J27" s="27" t="str">
        <f>IFERROR(IF(Tbl_B5_Help_01[[#This Row],[Start Month ("MMM")]]="","",IF(AND(_xlfn.ISFORMULA(Tbl_B5_Help_01[[#This Row],[Start Month ("MMM")]]),EXACT(Tbl_B5_Help_01[[#This Row],[Start Month ("MMM")]],Tbl_B5_Help_01[[#This Row],[Start Month ("MMM") ANS]])),Rng_Lkp_AnswerStatus_Good,Rng_Lkp_AnswerStatus_Bad)),Rng_Lkp_AnswerStatus_Bad)</f>
        <v/>
      </c>
      <c r="K27" s="41" t="s">
        <v>169</v>
      </c>
      <c r="L27" s="89"/>
      <c r="M27" s="27" t="str">
        <f>IFERROR(IF(Tbl_B5_Help_01[[#This Row],[Start Day ("D")]]="","",IF(AND(_xlfn.ISFORMULA(Tbl_B5_Help_01[[#This Row],[Start Day ("D")]]),EXACT(Tbl_B5_Help_01[[#This Row],[Start Day ("D")]],Tbl_B5_Help_01[[#This Row],[Start Day ("D") ANS]])),Rng_Lkp_AnswerStatus_Good,Rng_Lkp_AnswerStatus_Bad)),Rng_Lkp_AnswerStatus_Bad)</f>
        <v/>
      </c>
      <c r="N27" s="41" t="s">
        <v>186</v>
      </c>
      <c r="O27" s="89"/>
      <c r="P27" s="27" t="str">
        <f>IFERROR(IF(Tbl_B5_Help_01[[#This Row],[Start Year ("YYYY")]]="","",IF(AND(_xlfn.ISFORMULA(Tbl_B5_Help_01[[#This Row],[Start Year ("YYYY")]]),EXACT(Tbl_B5_Help_01[[#This Row],[Start Year ("YYYY")]],Tbl_B5_Help_01[[#This Row],[Start Year ("YYYY") ANS]])),Rng_Lkp_AnswerStatus_Good,Rng_Lkp_AnswerStatus_Bad)),Rng_Lkp_AnswerStatus_Bad)</f>
        <v/>
      </c>
      <c r="Q27" s="41" t="s">
        <v>195</v>
      </c>
      <c r="R27" s="89"/>
      <c r="S27" s="48" t="str">
        <f>IFERROR(IF(Tbl_B5_Help_01[[#This Row],[Full Date ("DDD, MMM D, YYYY")]]="","",IF(AND(_xlfn.ISFORMULA(Tbl_B5_Help_01[[#This Row],[Full Date ("DDD, MMM D, YYYY")]]),EXACT(Tbl_B5_Help_01[[#This Row],[Full Date ("DDD, MMM D, YYYY")]],Tbl_B5_Help_01[[#This Row],[Full Date ("DDD, MMM D, YYYY") ANS]])),Rng_Lkp_AnswerStatus_Good,Rng_Lkp_AnswerStatus_Bad)),Rng_Lkp_AnswerStatus_Bad)</f>
        <v/>
      </c>
      <c r="T27" s="41" t="s">
        <v>213</v>
      </c>
      <c r="U27" s="52"/>
      <c r="V27" s="48" t="str">
        <f>IFERROR(IF(Tbl_B5_Help_01[[#This Row],[State is "NY" AND Start Year is "2019" (TRUE/FALSE)]]="","",IF(AND(_xlfn.ISFORMULA(Tbl_B5_Help_01[[#This Row],[State is "NY" AND Start Year is "2019" (TRUE/FALSE)]]),EXACT(Tbl_B5_Help_01[[#This Row],[State is "NY" AND Start Year is "2019" (TRUE/FALSE)]],Tbl_B5_Help_01[[#This Row],[State is "NY" AND Start Year is "2019" (TRUE/FALSE) ANS]])),Rng_Lkp_AnswerStatus_Good,Rng_Lkp_AnswerStatus_Bad)),Rng_Lkp_AnswerStatus_Bad)</f>
        <v/>
      </c>
      <c r="W27" s="54" t="b">
        <v>0</v>
      </c>
      <c r="X27" s="52"/>
      <c r="Y27" s="48" t="str">
        <f>IFERROR(IF(Tbl_B5_Help_01[[#This Row],[State is "NY" OR Start Year is "2019" (TRUE/FALSE)]]="","",IF(AND(_xlfn.ISFORMULA(Tbl_B5_Help_01[[#This Row],[State is "NY" OR Start Year is "2019" (TRUE/FALSE)]]),EXACT(Tbl_B5_Help_01[[#This Row],[State is "NY" OR Start Year is "2019" (TRUE/FALSE)]],Tbl_B5_Help_01[[#This Row],[State is "NY" OR Start Year is "2019" (TRUE/FALSE) ANS]])),Rng_Lkp_AnswerStatus_Good,Rng_Lkp_AnswerStatus_Bad)),Rng_Lkp_AnswerStatus_Bad)</f>
        <v/>
      </c>
      <c r="Z27" s="54" t="b">
        <v>1</v>
      </c>
      <c r="AA27" s="52"/>
      <c r="AB27" s="48" t="str">
        <f>IFERROR(IF(Tbl_B5_Help_01[[#This Row],[If State is "NJ" OR Start Year is "2012" then "Approve", otherwise "Deny"]]="","",IF(AND(_xlfn.ISFORMULA(Tbl_B5_Help_01[[#This Row],[If State is "NJ" OR Start Year is "2012" then "Approve", otherwise "Deny"]]),EXACT(Tbl_B5_Help_01[[#This Row],[If State is "NJ" OR Start Year is "2012" then "Approve", otherwise "Deny"]],Tbl_B5_Help_01[[#This Row],[If State is "NJ" OR Start Year is "2012" then "Approve", otherwise "Deny" ANS]])),Rng_Lkp_AnswerStatus_Good,Rng_Lkp_AnswerStatus_Bad)),Rng_Lkp_AnswerStatus_Bad)</f>
        <v/>
      </c>
      <c r="AC27" s="54" t="s">
        <v>221</v>
      </c>
    </row>
  </sheetData>
  <conditionalFormatting sqref="B5:C6 G6 J6 M6 P6 S6 V6 Y6 AB6">
    <cfRule type="colorScale" priority="1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B8:AC27">
    <cfRule type="cellIs" dxfId="81" priority="2" operator="equal">
      <formula>Rng_Lkp_AnswerStatus_Bad</formula>
    </cfRule>
    <cfRule type="cellIs" dxfId="80" priority="3" operator="equal">
      <formula>Rng_Lkp_AnswerStatus_Good</formula>
    </cfRule>
  </conditionalFormatting>
  <pageMargins left="0.7" right="0.7" top="0.75" bottom="0.75" header="0.3" footer="0.3"/>
  <pageSetup paperSize="121" orientation="portrait" horizontalDpi="300" verticalDpi="300" r:id="rId1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32361-609C-48F4-B0C6-70CD41E97D8B}">
  <sheetPr>
    <tabColor theme="9"/>
  </sheetPr>
  <dimension ref="A1:AC27"/>
  <sheetViews>
    <sheetView showGridLines="0" zoomScaleNormal="100" workbookViewId="0">
      <pane xSplit="5" ySplit="7" topLeftCell="F8" activePane="bottomRight" state="frozen"/>
      <selection pane="topRight" activeCell="G1" sqref="G1"/>
      <selection pane="bottomLeft" activeCell="A8" sqref="A8"/>
      <selection pane="bottomRight" activeCell="F8" sqref="F8"/>
    </sheetView>
  </sheetViews>
  <sheetFormatPr defaultColWidth="9.140625" defaultRowHeight="15" outlineLevelRow="1" outlineLevelCol="1" x14ac:dyDescent="0.25"/>
  <cols>
    <col min="1" max="1" width="2.5703125" style="10" customWidth="1"/>
    <col min="2" max="2" width="8.140625" style="10" bestFit="1" customWidth="1"/>
    <col min="3" max="3" width="13.85546875" style="10" bestFit="1" customWidth="1"/>
    <col min="4" max="4" width="5.5703125" style="10" bestFit="1" customWidth="1"/>
    <col min="5" max="5" width="9.28515625" style="10" customWidth="1"/>
    <col min="6" max="6" width="9.42578125" style="10" bestFit="1" customWidth="1"/>
    <col min="7" max="7" width="8.42578125" style="10" bestFit="1" customWidth="1"/>
    <col min="8" max="8" width="13" style="10" hidden="1" customWidth="1" outlineLevel="1"/>
    <col min="9" max="9" width="10" style="10" bestFit="1" customWidth="1" collapsed="1"/>
    <col min="10" max="10" width="8.140625" style="10" bestFit="1" customWidth="1"/>
    <col min="11" max="11" width="12.28515625" style="10" hidden="1" customWidth="1" outlineLevel="1"/>
    <col min="12" max="12" width="6.28515625" style="10" customWidth="1" collapsed="1"/>
    <col min="13" max="13" width="8.140625" style="10" bestFit="1" customWidth="1"/>
    <col min="14" max="14" width="9.7109375" style="10" hidden="1" customWidth="1" outlineLevel="1"/>
    <col min="15" max="15" width="9.5703125" style="10" bestFit="1" customWidth="1" collapsed="1"/>
    <col min="16" max="16" width="8.140625" style="10" bestFit="1" customWidth="1"/>
    <col min="17" max="17" width="10.28515625" style="10" hidden="1" customWidth="1" outlineLevel="1"/>
    <col min="18" max="18" width="17.28515625" style="10" bestFit="1" customWidth="1" collapsed="1"/>
    <col min="19" max="19" width="9.140625" style="10"/>
    <col min="20" max="20" width="18" style="10" hidden="1" customWidth="1" outlineLevel="1"/>
    <col min="21" max="21" width="18.140625" style="10" bestFit="1" customWidth="1" collapsed="1"/>
    <col min="22" max="22" width="9.140625" style="10"/>
    <col min="23" max="23" width="18.85546875" style="10" hidden="1" customWidth="1" outlineLevel="1"/>
    <col min="24" max="24" width="18.140625" style="10" bestFit="1" customWidth="1" collapsed="1"/>
    <col min="25" max="25" width="9.140625" style="10"/>
    <col min="26" max="26" width="18.85546875" style="10" bestFit="1" customWidth="1"/>
    <col min="27" max="27" width="26.28515625" style="10" bestFit="1" customWidth="1"/>
    <col min="28" max="28" width="9.140625" style="10"/>
    <col min="29" max="29" width="27" style="10" bestFit="1" customWidth="1"/>
    <col min="30" max="16384" width="9.140625" style="10"/>
  </cols>
  <sheetData>
    <row r="1" spans="1:29" s="8" customFormat="1" ht="21" x14ac:dyDescent="0.35">
      <c r="A1" s="98" t="s">
        <v>129</v>
      </c>
      <c r="B1" s="4"/>
      <c r="C1" s="4"/>
    </row>
    <row r="2" spans="1:29" s="8" customFormat="1" ht="18.75" x14ac:dyDescent="0.3">
      <c r="A2" s="99" t="s">
        <v>11</v>
      </c>
      <c r="B2" s="9"/>
      <c r="C2" s="9"/>
    </row>
    <row r="3" spans="1:29" ht="6.95" customHeight="1" x14ac:dyDescent="0.25"/>
    <row r="4" spans="1:29" x14ac:dyDescent="0.25">
      <c r="E4" s="16" t="s">
        <v>137</v>
      </c>
      <c r="F4" s="30">
        <v>1</v>
      </c>
      <c r="G4" s="92"/>
      <c r="H4" s="92"/>
      <c r="I4" s="30">
        <v>2</v>
      </c>
      <c r="J4" s="92"/>
      <c r="K4" s="92"/>
      <c r="L4" s="30">
        <v>3</v>
      </c>
      <c r="M4" s="92"/>
      <c r="N4" s="92"/>
      <c r="O4" s="30">
        <v>4</v>
      </c>
      <c r="P4" s="92"/>
      <c r="Q4" s="92"/>
      <c r="R4" s="30">
        <v>5</v>
      </c>
      <c r="S4" s="92"/>
      <c r="T4" s="92"/>
      <c r="U4" s="30">
        <v>6</v>
      </c>
      <c r="V4" s="92"/>
      <c r="W4" s="92"/>
      <c r="X4" s="30">
        <v>7</v>
      </c>
      <c r="Y4" s="92"/>
      <c r="Z4" s="92"/>
      <c r="AA4" s="30">
        <v>8</v>
      </c>
      <c r="AB4" s="92"/>
      <c r="AC4" s="92"/>
    </row>
    <row r="5" spans="1:29" hidden="1" outlineLevel="1" x14ac:dyDescent="0.25">
      <c r="B5" s="38">
        <f>IFERROR(IF(SUMIFS(F5:AC5,F4:AC4,"&gt;=0")=0,"",SUMIFS(F5:AC5,F4:AC4,"&gt;=0")/SUMIFS(F5:AC5,F6:AC6,"ANSWER")),"")</f>
        <v>1</v>
      </c>
      <c r="C5" s="97" t="s">
        <v>43</v>
      </c>
      <c r="F5" s="36">
        <f>IFERROR(COUNTA(Tbl_B5_Help_ANS[Start Weekday ("DDD")]),"")</f>
        <v>20</v>
      </c>
      <c r="G5" s="37">
        <f>IFERROR(COUNTIF(Tbl_B5_Help_ANS[Answer Status Q01],Rng_Lkp_AnswerStatus_Good),"")</f>
        <v>20</v>
      </c>
      <c r="H5" s="37">
        <f>IFERROR(COUNTA(Tbl_B5_Help_ANS[Start Weekday ("DDD") ANS]),"")</f>
        <v>20</v>
      </c>
      <c r="I5" s="36">
        <f>IFERROR(COUNTA(Tbl_B5_Help_ANS[Start Month ("MMM")]),"")</f>
        <v>20</v>
      </c>
      <c r="J5" s="37">
        <f>IFERROR(COUNTIF(Tbl_B5_Help_ANS[Answer Status Q02],Rng_Lkp_AnswerStatus_Good),"")</f>
        <v>20</v>
      </c>
      <c r="K5" s="37">
        <f>IFERROR(COUNTA(Tbl_B5_Help_ANS[Start Month ("MMM") ANS]),"")</f>
        <v>20</v>
      </c>
      <c r="L5" s="36">
        <f>IFERROR(COUNTA(Tbl_B5_Help_ANS[Start Day ("D")]),"")</f>
        <v>20</v>
      </c>
      <c r="M5" s="37">
        <f>IFERROR(COUNTIF(Tbl_B5_Help_ANS[Answer Status Q03],Rng_Lkp_AnswerStatus_Good),"")</f>
        <v>20</v>
      </c>
      <c r="N5" s="37">
        <f>IFERROR(COUNTA(Tbl_B5_Help_ANS[Start Day ("D") ANS]),"")</f>
        <v>20</v>
      </c>
      <c r="O5" s="36">
        <f>IFERROR(COUNTA(Tbl_B5_Help_ANS[Start Year ("YYYY")]),"")</f>
        <v>20</v>
      </c>
      <c r="P5" s="37">
        <f>IFERROR(COUNTIF(Tbl_B5_Help_ANS[Answer Status Q04],Rng_Lkp_AnswerStatus_Good),"")</f>
        <v>20</v>
      </c>
      <c r="Q5" s="37">
        <f>IFERROR(COUNTA(Tbl_B5_Help_ANS[Start Year ("YYYY") ANS]),"")</f>
        <v>20</v>
      </c>
      <c r="R5" s="36">
        <f>IFERROR(COUNTA(Tbl_B5_Help_ANS[Full Date ("DDD, MMM D, YYYY")]),"")</f>
        <v>20</v>
      </c>
      <c r="S5" s="37">
        <f>IFERROR(COUNTIF(Tbl_B5_Help_ANS[Answer Status Q05],Rng_Lkp_AnswerStatus_Good),"")</f>
        <v>20</v>
      </c>
      <c r="T5" s="37">
        <f>IFERROR(COUNTA(Tbl_B5_Help_ANS[Full Date ("DDD, MMM D, YYYY") ANS]),"")</f>
        <v>20</v>
      </c>
      <c r="U5" s="36">
        <f>IFERROR(COUNTA(Tbl_B5_Help_ANS[State is "NY" AND Start Year is "2019" (TRUE/FALSE)]),"")</f>
        <v>20</v>
      </c>
      <c r="V5" s="37">
        <f>IFERROR(COUNTIF(Tbl_B5_Help_ANS[Answer Status Q06],Rng_Lkp_AnswerStatus_Good),"")</f>
        <v>20</v>
      </c>
      <c r="W5" s="37">
        <f>IFERROR(COUNTA(Tbl_B5_Help_ANS[State is "NY" AND Start Year is "2019" (TRUE/FALSE) ANS]),"")</f>
        <v>20</v>
      </c>
      <c r="X5" s="36">
        <f>IFERROR(COUNTA(Tbl_B5_Help_ANS[State is "NY" OR Start Year is "2019" (TRUE/FALSE)]),"")</f>
        <v>20</v>
      </c>
      <c r="Y5" s="37">
        <f>IFERROR(COUNTIF(Tbl_B5_Help_ANS[Answer Status Q07],Rng_Lkp_AnswerStatus_Good),"")</f>
        <v>20</v>
      </c>
      <c r="Z5" s="37">
        <f>IFERROR(COUNTA(Tbl_B5_Help_ANS[State is "NY" OR Start Year is "2019" (TRUE/FALSE) ANS]),"")</f>
        <v>20</v>
      </c>
      <c r="AA5" s="36">
        <f>IFERROR(COUNTA(Tbl_B5_Help_ANS[If State is "NJ" OR Start Year is "2012" then "Approve", otherwise "Deny"]),"")</f>
        <v>20</v>
      </c>
      <c r="AB5" s="37">
        <f>IFERROR(COUNTIF(Tbl_B5_Help_ANS[Answer Status Q08],Rng_Lkp_AnswerStatus_Good),"")</f>
        <v>20</v>
      </c>
      <c r="AC5" s="37">
        <f>IFERROR(COUNTA(Tbl_B5_Help_ANS[If State is "NJ" OR Start Year is "2012" then "Approve", otherwise "Deny" ANS]),"")</f>
        <v>20</v>
      </c>
    </row>
    <row r="6" spans="1:29" collapsed="1" x14ac:dyDescent="0.25">
      <c r="B6" s="38">
        <f>IFERROR(IF(SUMIFS(F5:AC5,F4:AC4,"&gt;=0")=0,"",SUMIFS(F5:AC5,F6:AC6,"&gt;=0", F6:AC6,"&lt;=1")/SUMIFS(F5:AC5,F4:AC4,"&gt;0")),"")</f>
        <v>1</v>
      </c>
      <c r="C6" s="97" t="s">
        <v>44</v>
      </c>
      <c r="F6" s="30" t="s">
        <v>154</v>
      </c>
      <c r="G6" s="28">
        <f>IFERROR(G5/F5,"")</f>
        <v>1</v>
      </c>
      <c r="H6" s="31" t="s">
        <v>26</v>
      </c>
      <c r="I6" s="30" t="s">
        <v>154</v>
      </c>
      <c r="J6" s="28">
        <f>IFERROR(J5/I5,"")</f>
        <v>1</v>
      </c>
      <c r="K6" s="31" t="s">
        <v>26</v>
      </c>
      <c r="L6" s="30" t="s">
        <v>154</v>
      </c>
      <c r="M6" s="28">
        <f>IFERROR(M5/L5,"")</f>
        <v>1</v>
      </c>
      <c r="N6" s="31" t="s">
        <v>26</v>
      </c>
      <c r="O6" s="30" t="s">
        <v>154</v>
      </c>
      <c r="P6" s="28">
        <f>IFERROR(P5/O5,"")</f>
        <v>1</v>
      </c>
      <c r="Q6" s="31" t="s">
        <v>26</v>
      </c>
      <c r="R6" s="30" t="s">
        <v>196</v>
      </c>
      <c r="S6" s="28">
        <f>IFERROR(S5/R5,"")</f>
        <v>1</v>
      </c>
      <c r="T6" s="31" t="s">
        <v>26</v>
      </c>
      <c r="U6" s="22" t="s">
        <v>59</v>
      </c>
      <c r="V6" s="28">
        <f>IFERROR(V5/U5,"")</f>
        <v>1</v>
      </c>
      <c r="W6" s="55" t="s">
        <v>26</v>
      </c>
      <c r="X6" s="22" t="s">
        <v>60</v>
      </c>
      <c r="Y6" s="28">
        <f>IFERROR(Y5/X5,"")</f>
        <v>1</v>
      </c>
      <c r="Z6" s="55" t="s">
        <v>26</v>
      </c>
      <c r="AA6" s="22" t="s">
        <v>218</v>
      </c>
      <c r="AB6" s="28">
        <f>IFERROR(AB5/AA5,"")</f>
        <v>1</v>
      </c>
      <c r="AC6" s="55" t="s">
        <v>26</v>
      </c>
    </row>
    <row r="7" spans="1:29" ht="45" x14ac:dyDescent="0.25">
      <c r="B7" s="20" t="s">
        <v>10</v>
      </c>
      <c r="C7" s="20" t="s">
        <v>12</v>
      </c>
      <c r="D7" s="21" t="s">
        <v>48</v>
      </c>
      <c r="E7" s="49" t="s">
        <v>138</v>
      </c>
      <c r="F7" s="29" t="s">
        <v>155</v>
      </c>
      <c r="G7" s="26" t="s">
        <v>33</v>
      </c>
      <c r="H7" s="32" t="s">
        <v>156</v>
      </c>
      <c r="I7" s="29" t="s">
        <v>162</v>
      </c>
      <c r="J7" s="26" t="s">
        <v>34</v>
      </c>
      <c r="K7" s="32" t="s">
        <v>171</v>
      </c>
      <c r="L7" s="29" t="s">
        <v>172</v>
      </c>
      <c r="M7" s="26" t="s">
        <v>35</v>
      </c>
      <c r="N7" s="32" t="s">
        <v>173</v>
      </c>
      <c r="O7" s="29" t="s">
        <v>187</v>
      </c>
      <c r="P7" s="26" t="s">
        <v>41</v>
      </c>
      <c r="Q7" s="32" t="s">
        <v>188</v>
      </c>
      <c r="R7" s="82" t="s">
        <v>197</v>
      </c>
      <c r="S7" s="47" t="s">
        <v>46</v>
      </c>
      <c r="T7" s="84" t="s">
        <v>198</v>
      </c>
      <c r="U7" s="56" t="s">
        <v>214</v>
      </c>
      <c r="V7" s="47" t="s">
        <v>47</v>
      </c>
      <c r="W7" s="57" t="s">
        <v>215</v>
      </c>
      <c r="X7" s="56" t="s">
        <v>216</v>
      </c>
      <c r="Y7" s="47" t="s">
        <v>152</v>
      </c>
      <c r="Z7" s="57" t="s">
        <v>217</v>
      </c>
      <c r="AA7" s="56" t="s">
        <v>219</v>
      </c>
      <c r="AB7" s="47" t="s">
        <v>153</v>
      </c>
      <c r="AC7" s="57" t="s">
        <v>220</v>
      </c>
    </row>
    <row r="8" spans="1:29" x14ac:dyDescent="0.25">
      <c r="B8" s="11">
        <v>4405</v>
      </c>
      <c r="C8" s="11" t="s">
        <v>143</v>
      </c>
      <c r="D8" s="12" t="s">
        <v>49</v>
      </c>
      <c r="E8" s="12">
        <v>43466</v>
      </c>
      <c r="F8" s="88" t="str">
        <f>TEXT(Tbl_B5_Help_ANS[[#This Row],[Member Start Date]],"DDD")</f>
        <v>Tue</v>
      </c>
      <c r="G8" s="27" t="str">
        <f>IFERROR(IF(Tbl_B5_Help_ANS[[#This Row],[Start Weekday ("DDD")]]="","",IF(AND(_xlfn.ISFORMULA(Tbl_B5_Help_ANS[[#This Row],[Start Weekday ("DDD")]]),EXACT(Tbl_B5_Help_ANS[[#This Row],[Start Weekday ("DDD")]],Tbl_B5_Help_ANS[[#This Row],[Start Weekday ("DDD") ANS]])),Rng_Lkp_AnswerStatus_Good,Rng_Lkp_AnswerStatus_Bad)),Rng_Lkp_AnswerStatus_Bad)</f>
        <v>Correct</v>
      </c>
      <c r="H8" s="41" t="s">
        <v>157</v>
      </c>
      <c r="I8" s="88" t="str">
        <f>TEXT(Tbl_B5_Help_ANS[[#This Row],[Member Start Date]],"MMM")</f>
        <v>Jan</v>
      </c>
      <c r="J8" s="27" t="str">
        <f>IFERROR(IF(Tbl_B5_Help_ANS[[#This Row],[Start Month ("MMM")]]="","",IF(AND(_xlfn.ISFORMULA(Tbl_B5_Help_ANS[[#This Row],[Start Month ("MMM")]]),EXACT(Tbl_B5_Help_ANS[[#This Row],[Start Month ("MMM")]],Tbl_B5_Help_ANS[[#This Row],[Start Month ("MMM") ANS]])),Rng_Lkp_AnswerStatus_Good,Rng_Lkp_AnswerStatus_Bad)),Rng_Lkp_AnswerStatus_Bad)</f>
        <v>Correct</v>
      </c>
      <c r="K8" s="41" t="s">
        <v>163</v>
      </c>
      <c r="L8" s="89" t="str">
        <f>TEXT(Tbl_B5_Help_ANS[[#This Row],[Member Start Date]],"D")</f>
        <v>1</v>
      </c>
      <c r="M8" s="27" t="str">
        <f>IFERROR(IF(Tbl_B5_Help_ANS[[#This Row],[Start Day ("D")]]="","",IF(AND(_xlfn.ISFORMULA(Tbl_B5_Help_ANS[[#This Row],[Start Day ("D")]]),EXACT(Tbl_B5_Help_ANS[[#This Row],[Start Day ("D")]],Tbl_B5_Help_ANS[[#This Row],[Start Day ("D") ANS]])),Rng_Lkp_AnswerStatus_Good,Rng_Lkp_AnswerStatus_Bad)),Rng_Lkp_AnswerStatus_Bad)</f>
        <v>Correct</v>
      </c>
      <c r="N8" s="41" t="s">
        <v>174</v>
      </c>
      <c r="O8" s="89" t="str">
        <f>TEXT(Tbl_B5_Help_ANS[[#This Row],[Member Start Date]],"YYYY")</f>
        <v>2019</v>
      </c>
      <c r="P8" s="27" t="str">
        <f>IFERROR(IF(Tbl_B5_Help_ANS[[#This Row],[Start Year ("YYYY")]]="","",IF(AND(_xlfn.ISFORMULA(Tbl_B5_Help_ANS[[#This Row],[Start Year ("YYYY")]]),EXACT(Tbl_B5_Help_ANS[[#This Row],[Start Year ("YYYY")]],Tbl_B5_Help_ANS[[#This Row],[Start Year ("YYYY") ANS]])),Rng_Lkp_AnswerStatus_Good,Rng_Lkp_AnswerStatus_Bad)),Rng_Lkp_AnswerStatus_Bad)</f>
        <v>Correct</v>
      </c>
      <c r="Q8" s="41" t="s">
        <v>189</v>
      </c>
      <c r="R8" s="89" t="str">
        <f>_xlfn.CONCAT(Tbl_B5_Help_ANS[[#This Row],[Start Weekday ("DDD")]],", ",Tbl_B5_Help_ANS[[#This Row],[Start Month ("MMM")]]," ",Tbl_B5_Help_ANS[[#This Row],[Start Day ("D")]],", ",Tbl_B5_Help_ANS[[#This Row],[Start Year ("YYYY")]])</f>
        <v>Tue, Jan 1, 2019</v>
      </c>
      <c r="S8" s="27" t="str">
        <f>IFERROR(IF(Tbl_B5_Help_ANS[[#This Row],[Full Date ("DDD, MMM D, YYYY")]]="","",IF(AND(_xlfn.ISFORMULA(Tbl_B5_Help_ANS[[#This Row],[Full Date ("DDD, MMM D, YYYY")]]),EXACT(Tbl_B5_Help_ANS[[#This Row],[Full Date ("DDD, MMM D, YYYY")]],Tbl_B5_Help_ANS[[#This Row],[Full Date ("DDD, MMM D, YYYY") ANS]])),Rng_Lkp_AnswerStatus_Good,Rng_Lkp_AnswerStatus_Bad)),Rng_Lkp_AnswerStatus_Bad)</f>
        <v>Correct</v>
      </c>
      <c r="T8" s="41" t="s">
        <v>199</v>
      </c>
      <c r="U8" s="52" t="b">
        <f>AND(Tbl_B5_Help_ANS[[#This Row],[State]]="NY",Tbl_B5_Help_ANS[[#This Row],[Start Year ("YYYY") ANS]]="2019")</f>
        <v>1</v>
      </c>
      <c r="V8" s="27" t="str">
        <f>IFERROR(IF(Tbl_B5_Help_ANS[[#This Row],[State is "NY" AND Start Year is "2019" (TRUE/FALSE)]]="","",IF(AND(_xlfn.ISFORMULA(Tbl_B5_Help_ANS[[#This Row],[State is "NY" AND Start Year is "2019" (TRUE/FALSE)]]),EXACT(Tbl_B5_Help_ANS[[#This Row],[State is "NY" AND Start Year is "2019" (TRUE/FALSE)]],Tbl_B5_Help_ANS[[#This Row],[State is "NY" AND Start Year is "2019" (TRUE/FALSE) ANS]])),Rng_Lkp_AnswerStatus_Good,Rng_Lkp_AnswerStatus_Bad)),Rng_Lkp_AnswerStatus_Bad)</f>
        <v>Correct</v>
      </c>
      <c r="W8" s="54" t="b">
        <v>1</v>
      </c>
      <c r="X8" s="52" t="b">
        <f>OR(Tbl_B5_Help_ANS[[#This Row],[State]]="NY",Tbl_B5_Help_ANS[[#This Row],[Start Year ("YYYY")]]="2019")</f>
        <v>1</v>
      </c>
      <c r="Y8" s="27" t="str">
        <f>IFERROR(IF(Tbl_B5_Help_ANS[[#This Row],[State is "NY" OR Start Year is "2019" (TRUE/FALSE)]]="","",IF(AND(_xlfn.ISFORMULA(Tbl_B5_Help_ANS[[#This Row],[State is "NY" OR Start Year is "2019" (TRUE/FALSE)]]),EXACT(Tbl_B5_Help_ANS[[#This Row],[State is "NY" OR Start Year is "2019" (TRUE/FALSE)]],Tbl_B5_Help_ANS[[#This Row],[State is "NY" OR Start Year is "2019" (TRUE/FALSE) ANS]])),Rng_Lkp_AnswerStatus_Good,Rng_Lkp_AnswerStatus_Bad)),Rng_Lkp_AnswerStatus_Bad)</f>
        <v>Correct</v>
      </c>
      <c r="Z8" s="54" t="b">
        <v>1</v>
      </c>
      <c r="AA8" s="52" t="str">
        <f>IF(OR(Tbl_B5_Help_ANS[[#This Row],[State]]="NJ",Tbl_B5_Help_ANS[[#This Row],[Start Year ("YYYY") ANS]]="2012"),"Approve","Deny")</f>
        <v>Deny</v>
      </c>
      <c r="AB8" s="27" t="str">
        <f>IFERROR(IF(Tbl_B5_Help_ANS[[#This Row],[If State is "NJ" OR Start Year is "2012" then "Approve", otherwise "Deny"]]="","",IF(AND(_xlfn.ISFORMULA(Tbl_B5_Help_ANS[[#This Row],[If State is "NJ" OR Start Year is "2012" then "Approve", otherwise "Deny"]]),EXACT(Tbl_B5_Help_ANS[[#This Row],[If State is "NJ" OR Start Year is "2012" then "Approve", otherwise "Deny"]],Tbl_B5_Help_ANS[[#This Row],[If State is "NJ" OR Start Year is "2012" then "Approve", otherwise "Deny" ANS]])),Rng_Lkp_AnswerStatus_Good,Rng_Lkp_AnswerStatus_Bad)),Rng_Lkp_AnswerStatus_Bad)</f>
        <v>Correct</v>
      </c>
      <c r="AC8" s="54" t="s">
        <v>221</v>
      </c>
    </row>
    <row r="9" spans="1:29" x14ac:dyDescent="0.25">
      <c r="B9" s="11">
        <v>1030</v>
      </c>
      <c r="C9" s="11" t="s">
        <v>13</v>
      </c>
      <c r="D9" s="12" t="s">
        <v>50</v>
      </c>
      <c r="E9" s="12">
        <v>41239</v>
      </c>
      <c r="F9" s="89" t="str">
        <f>TEXT(Tbl_B5_Help_ANS[[#This Row],[Member Start Date]],"DDD")</f>
        <v>Mon</v>
      </c>
      <c r="G9" s="27" t="str">
        <f>IFERROR(IF(Tbl_B5_Help_ANS[[#This Row],[Start Weekday ("DDD")]]="","",IF(AND(_xlfn.ISFORMULA(Tbl_B5_Help_ANS[[#This Row],[Start Weekday ("DDD")]]),EXACT(Tbl_B5_Help_ANS[[#This Row],[Start Weekday ("DDD")]],Tbl_B5_Help_ANS[[#This Row],[Start Weekday ("DDD") ANS]])),Rng_Lkp_AnswerStatus_Good,Rng_Lkp_AnswerStatus_Bad)),Rng_Lkp_AnswerStatus_Bad)</f>
        <v>Correct</v>
      </c>
      <c r="H9" s="41" t="s">
        <v>158</v>
      </c>
      <c r="I9" s="89" t="str">
        <f>TEXT(Tbl_B5_Help_ANS[[#This Row],[Member Start Date]],"MMM")</f>
        <v>Nov</v>
      </c>
      <c r="J9" s="27" t="str">
        <f>IFERROR(IF(Tbl_B5_Help_ANS[[#This Row],[Start Month ("MMM")]]="","",IF(AND(_xlfn.ISFORMULA(Tbl_B5_Help_ANS[[#This Row],[Start Month ("MMM")]]),EXACT(Tbl_B5_Help_ANS[[#This Row],[Start Month ("MMM")]],Tbl_B5_Help_ANS[[#This Row],[Start Month ("MMM") ANS]])),Rng_Lkp_AnswerStatus_Good,Rng_Lkp_AnswerStatus_Bad)),Rng_Lkp_AnswerStatus_Bad)</f>
        <v>Correct</v>
      </c>
      <c r="K9" s="41" t="s">
        <v>164</v>
      </c>
      <c r="L9" s="89" t="str">
        <f>TEXT(Tbl_B5_Help_ANS[[#This Row],[Member Start Date]],"D")</f>
        <v>26</v>
      </c>
      <c r="M9" s="27" t="str">
        <f>IFERROR(IF(Tbl_B5_Help_ANS[[#This Row],[Start Day ("D")]]="","",IF(AND(_xlfn.ISFORMULA(Tbl_B5_Help_ANS[[#This Row],[Start Day ("D")]]),EXACT(Tbl_B5_Help_ANS[[#This Row],[Start Day ("D")]],Tbl_B5_Help_ANS[[#This Row],[Start Day ("D") ANS]])),Rng_Lkp_AnswerStatus_Good,Rng_Lkp_AnswerStatus_Bad)),Rng_Lkp_AnswerStatus_Bad)</f>
        <v>Correct</v>
      </c>
      <c r="N9" s="41" t="s">
        <v>175</v>
      </c>
      <c r="O9" s="89" t="str">
        <f>TEXT(Tbl_B5_Help_ANS[[#This Row],[Member Start Date]],"YYYY")</f>
        <v>2012</v>
      </c>
      <c r="P9" s="27" t="str">
        <f>IFERROR(IF(Tbl_B5_Help_ANS[[#This Row],[Start Year ("YYYY")]]="","",IF(AND(_xlfn.ISFORMULA(Tbl_B5_Help_ANS[[#This Row],[Start Year ("YYYY")]]),EXACT(Tbl_B5_Help_ANS[[#This Row],[Start Year ("YYYY")]],Tbl_B5_Help_ANS[[#This Row],[Start Year ("YYYY") ANS]])),Rng_Lkp_AnswerStatus_Good,Rng_Lkp_AnswerStatus_Bad)),Rng_Lkp_AnswerStatus_Bad)</f>
        <v>Correct</v>
      </c>
      <c r="Q9" s="41" t="s">
        <v>190</v>
      </c>
      <c r="R9" s="89" t="str">
        <f>_xlfn.CONCAT(Tbl_B5_Help_ANS[[#This Row],[Start Weekday ("DDD")]],", ",Tbl_B5_Help_ANS[[#This Row],[Start Month ("MMM")]]," ",Tbl_B5_Help_ANS[[#This Row],[Start Day ("D")]],", ",Tbl_B5_Help_ANS[[#This Row],[Start Year ("YYYY")]])</f>
        <v>Mon, Nov 26, 2012</v>
      </c>
      <c r="S9" s="48" t="str">
        <f>IFERROR(IF(Tbl_B5_Help_ANS[[#This Row],[Full Date ("DDD, MMM D, YYYY")]]="","",IF(AND(_xlfn.ISFORMULA(Tbl_B5_Help_ANS[[#This Row],[Full Date ("DDD, MMM D, YYYY")]]),EXACT(Tbl_B5_Help_ANS[[#This Row],[Full Date ("DDD, MMM D, YYYY")]],Tbl_B5_Help_ANS[[#This Row],[Full Date ("DDD, MMM D, YYYY") ANS]])),Rng_Lkp_AnswerStatus_Good,Rng_Lkp_AnswerStatus_Bad)),Rng_Lkp_AnswerStatus_Bad)</f>
        <v>Correct</v>
      </c>
      <c r="T9" s="41" t="s">
        <v>200</v>
      </c>
      <c r="U9" s="52" t="b">
        <f>AND(Tbl_B5_Help_ANS[[#This Row],[State]]="NY",Tbl_B5_Help_ANS[[#This Row],[Start Year ("YYYY") ANS]]="2019")</f>
        <v>0</v>
      </c>
      <c r="V9" s="48" t="str">
        <f>IFERROR(IF(Tbl_B5_Help_ANS[[#This Row],[State is "NY" AND Start Year is "2019" (TRUE/FALSE)]]="","",IF(AND(_xlfn.ISFORMULA(Tbl_B5_Help_ANS[[#This Row],[State is "NY" AND Start Year is "2019" (TRUE/FALSE)]]),EXACT(Tbl_B5_Help_ANS[[#This Row],[State is "NY" AND Start Year is "2019" (TRUE/FALSE)]],Tbl_B5_Help_ANS[[#This Row],[State is "NY" AND Start Year is "2019" (TRUE/FALSE) ANS]])),Rng_Lkp_AnswerStatus_Good,Rng_Lkp_AnswerStatus_Bad)),Rng_Lkp_AnswerStatus_Bad)</f>
        <v>Correct</v>
      </c>
      <c r="W9" s="54" t="b">
        <v>0</v>
      </c>
      <c r="X9" s="52" t="b">
        <f>OR(Tbl_B5_Help_ANS[[#This Row],[State]]="NY",Tbl_B5_Help_ANS[[#This Row],[Start Year ("YYYY")]]="2019")</f>
        <v>0</v>
      </c>
      <c r="Y9" s="48" t="str">
        <f>IFERROR(IF(Tbl_B5_Help_ANS[[#This Row],[State is "NY" OR Start Year is "2019" (TRUE/FALSE)]]="","",IF(AND(_xlfn.ISFORMULA(Tbl_B5_Help_ANS[[#This Row],[State is "NY" OR Start Year is "2019" (TRUE/FALSE)]]),EXACT(Tbl_B5_Help_ANS[[#This Row],[State is "NY" OR Start Year is "2019" (TRUE/FALSE)]],Tbl_B5_Help_ANS[[#This Row],[State is "NY" OR Start Year is "2019" (TRUE/FALSE) ANS]])),Rng_Lkp_AnswerStatus_Good,Rng_Lkp_AnswerStatus_Bad)),Rng_Lkp_AnswerStatus_Bad)</f>
        <v>Correct</v>
      </c>
      <c r="Z9" s="54" t="b">
        <v>0</v>
      </c>
      <c r="AA9" s="52" t="str">
        <f>IF(OR(Tbl_B5_Help_ANS[[#This Row],[State]]="NJ",Tbl_B5_Help_ANS[[#This Row],[Start Year ("YYYY") ANS]]="2012"),"Approve","Deny")</f>
        <v>Approve</v>
      </c>
      <c r="AB9" s="48" t="str">
        <f>IFERROR(IF(Tbl_B5_Help_ANS[[#This Row],[If State is "NJ" OR Start Year is "2012" then "Approve", otherwise "Deny"]]="","",IF(AND(_xlfn.ISFORMULA(Tbl_B5_Help_ANS[[#This Row],[If State is "NJ" OR Start Year is "2012" then "Approve", otherwise "Deny"]]),EXACT(Tbl_B5_Help_ANS[[#This Row],[If State is "NJ" OR Start Year is "2012" then "Approve", otherwise "Deny"]],Tbl_B5_Help_ANS[[#This Row],[If State is "NJ" OR Start Year is "2012" then "Approve", otherwise "Deny" ANS]])),Rng_Lkp_AnswerStatus_Good,Rng_Lkp_AnswerStatus_Bad)),Rng_Lkp_AnswerStatus_Bad)</f>
        <v>Correct</v>
      </c>
      <c r="AC9" s="54" t="s">
        <v>222</v>
      </c>
    </row>
    <row r="10" spans="1:29" x14ac:dyDescent="0.25">
      <c r="B10" s="11">
        <v>1603</v>
      </c>
      <c r="C10" s="11" t="s">
        <v>142</v>
      </c>
      <c r="D10" s="12" t="s">
        <v>51</v>
      </c>
      <c r="E10" s="12">
        <v>41269</v>
      </c>
      <c r="F10" s="89" t="str">
        <f>TEXT(Tbl_B5_Help_ANS[[#This Row],[Member Start Date]],"DDD")</f>
        <v>Wed</v>
      </c>
      <c r="G10" s="27" t="str">
        <f>IFERROR(IF(Tbl_B5_Help_ANS[[#This Row],[Start Weekday ("DDD")]]="","",IF(AND(_xlfn.ISFORMULA(Tbl_B5_Help_ANS[[#This Row],[Start Weekday ("DDD")]]),EXACT(Tbl_B5_Help_ANS[[#This Row],[Start Weekday ("DDD")]],Tbl_B5_Help_ANS[[#This Row],[Start Weekday ("DDD") ANS]])),Rng_Lkp_AnswerStatus_Good,Rng_Lkp_AnswerStatus_Bad)),Rng_Lkp_AnswerStatus_Bad)</f>
        <v>Correct</v>
      </c>
      <c r="H10" s="41" t="s">
        <v>159</v>
      </c>
      <c r="I10" s="89" t="str">
        <f>TEXT(Tbl_B5_Help_ANS[[#This Row],[Member Start Date]],"MMM")</f>
        <v>Dec</v>
      </c>
      <c r="J10" s="27" t="str">
        <f>IFERROR(IF(Tbl_B5_Help_ANS[[#This Row],[Start Month ("MMM")]]="","",IF(AND(_xlfn.ISFORMULA(Tbl_B5_Help_ANS[[#This Row],[Start Month ("MMM")]]),EXACT(Tbl_B5_Help_ANS[[#This Row],[Start Month ("MMM")]],Tbl_B5_Help_ANS[[#This Row],[Start Month ("MMM") ANS]])),Rng_Lkp_AnswerStatus_Good,Rng_Lkp_AnswerStatus_Bad)),Rng_Lkp_AnswerStatus_Bad)</f>
        <v>Correct</v>
      </c>
      <c r="K10" s="41" t="s">
        <v>165</v>
      </c>
      <c r="L10" s="89" t="str">
        <f>TEXT(Tbl_B5_Help_ANS[[#This Row],[Member Start Date]],"D")</f>
        <v>26</v>
      </c>
      <c r="M10" s="27" t="str">
        <f>IFERROR(IF(Tbl_B5_Help_ANS[[#This Row],[Start Day ("D")]]="","",IF(AND(_xlfn.ISFORMULA(Tbl_B5_Help_ANS[[#This Row],[Start Day ("D")]]),EXACT(Tbl_B5_Help_ANS[[#This Row],[Start Day ("D")]],Tbl_B5_Help_ANS[[#This Row],[Start Day ("D") ANS]])),Rng_Lkp_AnswerStatus_Good,Rng_Lkp_AnswerStatus_Bad)),Rng_Lkp_AnswerStatus_Bad)</f>
        <v>Correct</v>
      </c>
      <c r="N10" s="41" t="s">
        <v>175</v>
      </c>
      <c r="O10" s="89" t="str">
        <f>TEXT(Tbl_B5_Help_ANS[[#This Row],[Member Start Date]],"YYYY")</f>
        <v>2012</v>
      </c>
      <c r="P10" s="27" t="str">
        <f>IFERROR(IF(Tbl_B5_Help_ANS[[#This Row],[Start Year ("YYYY")]]="","",IF(AND(_xlfn.ISFORMULA(Tbl_B5_Help_ANS[[#This Row],[Start Year ("YYYY")]]),EXACT(Tbl_B5_Help_ANS[[#This Row],[Start Year ("YYYY")]],Tbl_B5_Help_ANS[[#This Row],[Start Year ("YYYY") ANS]])),Rng_Lkp_AnswerStatus_Good,Rng_Lkp_AnswerStatus_Bad)),Rng_Lkp_AnswerStatus_Bad)</f>
        <v>Correct</v>
      </c>
      <c r="Q10" s="41" t="s">
        <v>190</v>
      </c>
      <c r="R10" s="89" t="str">
        <f>_xlfn.CONCAT(Tbl_B5_Help_ANS[[#This Row],[Start Weekday ("DDD")]],", ",Tbl_B5_Help_ANS[[#This Row],[Start Month ("MMM")]]," ",Tbl_B5_Help_ANS[[#This Row],[Start Day ("D")]],", ",Tbl_B5_Help_ANS[[#This Row],[Start Year ("YYYY")]])</f>
        <v>Wed, Dec 26, 2012</v>
      </c>
      <c r="S10" s="48" t="str">
        <f>IFERROR(IF(Tbl_B5_Help_ANS[[#This Row],[Full Date ("DDD, MMM D, YYYY")]]="","",IF(AND(_xlfn.ISFORMULA(Tbl_B5_Help_ANS[[#This Row],[Full Date ("DDD, MMM D, YYYY")]]),EXACT(Tbl_B5_Help_ANS[[#This Row],[Full Date ("DDD, MMM D, YYYY")]],Tbl_B5_Help_ANS[[#This Row],[Full Date ("DDD, MMM D, YYYY") ANS]])),Rng_Lkp_AnswerStatus_Good,Rng_Lkp_AnswerStatus_Bad)),Rng_Lkp_AnswerStatus_Bad)</f>
        <v>Correct</v>
      </c>
      <c r="T10" s="41" t="s">
        <v>201</v>
      </c>
      <c r="U10" s="52" t="b">
        <f>AND(Tbl_B5_Help_ANS[[#This Row],[State]]="NY",Tbl_B5_Help_ANS[[#This Row],[Start Year ("YYYY") ANS]]="2019")</f>
        <v>0</v>
      </c>
      <c r="V10" s="48" t="str">
        <f>IFERROR(IF(Tbl_B5_Help_ANS[[#This Row],[State is "NY" AND Start Year is "2019" (TRUE/FALSE)]]="","",IF(AND(_xlfn.ISFORMULA(Tbl_B5_Help_ANS[[#This Row],[State is "NY" AND Start Year is "2019" (TRUE/FALSE)]]),EXACT(Tbl_B5_Help_ANS[[#This Row],[State is "NY" AND Start Year is "2019" (TRUE/FALSE)]],Tbl_B5_Help_ANS[[#This Row],[State is "NY" AND Start Year is "2019" (TRUE/FALSE) ANS]])),Rng_Lkp_AnswerStatus_Good,Rng_Lkp_AnswerStatus_Bad)),Rng_Lkp_AnswerStatus_Bad)</f>
        <v>Correct</v>
      </c>
      <c r="W10" s="54" t="b">
        <v>0</v>
      </c>
      <c r="X10" s="52" t="b">
        <f>OR(Tbl_B5_Help_ANS[[#This Row],[State]]="NY",Tbl_B5_Help_ANS[[#This Row],[Start Year ("YYYY")]]="2019")</f>
        <v>0</v>
      </c>
      <c r="Y10" s="48" t="str">
        <f>IFERROR(IF(Tbl_B5_Help_ANS[[#This Row],[State is "NY" OR Start Year is "2019" (TRUE/FALSE)]]="","",IF(AND(_xlfn.ISFORMULA(Tbl_B5_Help_ANS[[#This Row],[State is "NY" OR Start Year is "2019" (TRUE/FALSE)]]),EXACT(Tbl_B5_Help_ANS[[#This Row],[State is "NY" OR Start Year is "2019" (TRUE/FALSE)]],Tbl_B5_Help_ANS[[#This Row],[State is "NY" OR Start Year is "2019" (TRUE/FALSE) ANS]])),Rng_Lkp_AnswerStatus_Good,Rng_Lkp_AnswerStatus_Bad)),Rng_Lkp_AnswerStatus_Bad)</f>
        <v>Correct</v>
      </c>
      <c r="Z10" s="54" t="b">
        <v>0</v>
      </c>
      <c r="AA10" s="52" t="str">
        <f>IF(OR(Tbl_B5_Help_ANS[[#This Row],[State]]="NJ",Tbl_B5_Help_ANS[[#This Row],[Start Year ("YYYY") ANS]]="2012"),"Approve","Deny")</f>
        <v>Approve</v>
      </c>
      <c r="AB10" s="48" t="str">
        <f>IFERROR(IF(Tbl_B5_Help_ANS[[#This Row],[If State is "NJ" OR Start Year is "2012" then "Approve", otherwise "Deny"]]="","",IF(AND(_xlfn.ISFORMULA(Tbl_B5_Help_ANS[[#This Row],[If State is "NJ" OR Start Year is "2012" then "Approve", otherwise "Deny"]]),EXACT(Tbl_B5_Help_ANS[[#This Row],[If State is "NJ" OR Start Year is "2012" then "Approve", otherwise "Deny"]],Tbl_B5_Help_ANS[[#This Row],[If State is "NJ" OR Start Year is "2012" then "Approve", otherwise "Deny" ANS]])),Rng_Lkp_AnswerStatus_Good,Rng_Lkp_AnswerStatus_Bad)),Rng_Lkp_AnswerStatus_Bad)</f>
        <v>Correct</v>
      </c>
      <c r="AC10" s="54" t="s">
        <v>222</v>
      </c>
    </row>
    <row r="11" spans="1:29" x14ac:dyDescent="0.25">
      <c r="B11" s="11">
        <v>4298</v>
      </c>
      <c r="C11" s="11" t="s">
        <v>14</v>
      </c>
      <c r="D11" s="12" t="s">
        <v>52</v>
      </c>
      <c r="E11" s="12">
        <v>42895</v>
      </c>
      <c r="F11" s="89" t="str">
        <f>TEXT(Tbl_B5_Help_ANS[[#This Row],[Member Start Date]],"DDD")</f>
        <v>Fri</v>
      </c>
      <c r="G11" s="27" t="str">
        <f>IFERROR(IF(Tbl_B5_Help_ANS[[#This Row],[Start Weekday ("DDD")]]="","",IF(AND(_xlfn.ISFORMULA(Tbl_B5_Help_ANS[[#This Row],[Start Weekday ("DDD")]]),EXACT(Tbl_B5_Help_ANS[[#This Row],[Start Weekday ("DDD")]],Tbl_B5_Help_ANS[[#This Row],[Start Weekday ("DDD") ANS]])),Rng_Lkp_AnswerStatus_Good,Rng_Lkp_AnswerStatus_Bad)),Rng_Lkp_AnswerStatus_Bad)</f>
        <v>Correct</v>
      </c>
      <c r="H11" s="41" t="s">
        <v>160</v>
      </c>
      <c r="I11" s="89" t="str">
        <f>TEXT(Tbl_B5_Help_ANS[[#This Row],[Member Start Date]],"MMM")</f>
        <v>Jun</v>
      </c>
      <c r="J11" s="27" t="str">
        <f>IFERROR(IF(Tbl_B5_Help_ANS[[#This Row],[Start Month ("MMM")]]="","",IF(AND(_xlfn.ISFORMULA(Tbl_B5_Help_ANS[[#This Row],[Start Month ("MMM")]]),EXACT(Tbl_B5_Help_ANS[[#This Row],[Start Month ("MMM")]],Tbl_B5_Help_ANS[[#This Row],[Start Month ("MMM") ANS]])),Rng_Lkp_AnswerStatus_Good,Rng_Lkp_AnswerStatus_Bad)),Rng_Lkp_AnswerStatus_Bad)</f>
        <v>Correct</v>
      </c>
      <c r="K11" s="41" t="s">
        <v>166</v>
      </c>
      <c r="L11" s="89" t="str">
        <f>TEXT(Tbl_B5_Help_ANS[[#This Row],[Member Start Date]],"D")</f>
        <v>9</v>
      </c>
      <c r="M11" s="27" t="str">
        <f>IFERROR(IF(Tbl_B5_Help_ANS[[#This Row],[Start Day ("D")]]="","",IF(AND(_xlfn.ISFORMULA(Tbl_B5_Help_ANS[[#This Row],[Start Day ("D")]]),EXACT(Tbl_B5_Help_ANS[[#This Row],[Start Day ("D")]],Tbl_B5_Help_ANS[[#This Row],[Start Day ("D") ANS]])),Rng_Lkp_AnswerStatus_Good,Rng_Lkp_AnswerStatus_Bad)),Rng_Lkp_AnswerStatus_Bad)</f>
        <v>Correct</v>
      </c>
      <c r="N11" s="41" t="s">
        <v>176</v>
      </c>
      <c r="O11" s="89" t="str">
        <f>TEXT(Tbl_B5_Help_ANS[[#This Row],[Member Start Date]],"YYYY")</f>
        <v>2017</v>
      </c>
      <c r="P11" s="27" t="str">
        <f>IFERROR(IF(Tbl_B5_Help_ANS[[#This Row],[Start Year ("YYYY")]]="","",IF(AND(_xlfn.ISFORMULA(Tbl_B5_Help_ANS[[#This Row],[Start Year ("YYYY")]]),EXACT(Tbl_B5_Help_ANS[[#This Row],[Start Year ("YYYY")]],Tbl_B5_Help_ANS[[#This Row],[Start Year ("YYYY") ANS]])),Rng_Lkp_AnswerStatus_Good,Rng_Lkp_AnswerStatus_Bad)),Rng_Lkp_AnswerStatus_Bad)</f>
        <v>Correct</v>
      </c>
      <c r="Q11" s="41" t="s">
        <v>191</v>
      </c>
      <c r="R11" s="89" t="str">
        <f>_xlfn.CONCAT(Tbl_B5_Help_ANS[[#This Row],[Start Weekday ("DDD")]],", ",Tbl_B5_Help_ANS[[#This Row],[Start Month ("MMM")]]," ",Tbl_B5_Help_ANS[[#This Row],[Start Day ("D")]],", ",Tbl_B5_Help_ANS[[#This Row],[Start Year ("YYYY")]])</f>
        <v>Fri, Jun 9, 2017</v>
      </c>
      <c r="S11" s="48" t="str">
        <f>IFERROR(IF(Tbl_B5_Help_ANS[[#This Row],[Full Date ("DDD, MMM D, YYYY")]]="","",IF(AND(_xlfn.ISFORMULA(Tbl_B5_Help_ANS[[#This Row],[Full Date ("DDD, MMM D, YYYY")]]),EXACT(Tbl_B5_Help_ANS[[#This Row],[Full Date ("DDD, MMM D, YYYY")]],Tbl_B5_Help_ANS[[#This Row],[Full Date ("DDD, MMM D, YYYY") ANS]])),Rng_Lkp_AnswerStatus_Good,Rng_Lkp_AnswerStatus_Bad)),Rng_Lkp_AnswerStatus_Bad)</f>
        <v>Correct</v>
      </c>
      <c r="T11" s="41" t="s">
        <v>202</v>
      </c>
      <c r="U11" s="52" t="b">
        <f>AND(Tbl_B5_Help_ANS[[#This Row],[State]]="NY",Tbl_B5_Help_ANS[[#This Row],[Start Year ("YYYY") ANS]]="2019")</f>
        <v>0</v>
      </c>
      <c r="V11" s="48" t="str">
        <f>IFERROR(IF(Tbl_B5_Help_ANS[[#This Row],[State is "NY" AND Start Year is "2019" (TRUE/FALSE)]]="","",IF(AND(_xlfn.ISFORMULA(Tbl_B5_Help_ANS[[#This Row],[State is "NY" AND Start Year is "2019" (TRUE/FALSE)]]),EXACT(Tbl_B5_Help_ANS[[#This Row],[State is "NY" AND Start Year is "2019" (TRUE/FALSE)]],Tbl_B5_Help_ANS[[#This Row],[State is "NY" AND Start Year is "2019" (TRUE/FALSE) ANS]])),Rng_Lkp_AnswerStatus_Good,Rng_Lkp_AnswerStatus_Bad)),Rng_Lkp_AnswerStatus_Bad)</f>
        <v>Correct</v>
      </c>
      <c r="W11" s="54" t="b">
        <v>0</v>
      </c>
      <c r="X11" s="52" t="b">
        <f>OR(Tbl_B5_Help_ANS[[#This Row],[State]]="NY",Tbl_B5_Help_ANS[[#This Row],[Start Year ("YYYY")]]="2019")</f>
        <v>0</v>
      </c>
      <c r="Y11" s="48" t="str">
        <f>IFERROR(IF(Tbl_B5_Help_ANS[[#This Row],[State is "NY" OR Start Year is "2019" (TRUE/FALSE)]]="","",IF(AND(_xlfn.ISFORMULA(Tbl_B5_Help_ANS[[#This Row],[State is "NY" OR Start Year is "2019" (TRUE/FALSE)]]),EXACT(Tbl_B5_Help_ANS[[#This Row],[State is "NY" OR Start Year is "2019" (TRUE/FALSE)]],Tbl_B5_Help_ANS[[#This Row],[State is "NY" OR Start Year is "2019" (TRUE/FALSE) ANS]])),Rng_Lkp_AnswerStatus_Good,Rng_Lkp_AnswerStatus_Bad)),Rng_Lkp_AnswerStatus_Bad)</f>
        <v>Correct</v>
      </c>
      <c r="Z11" s="54" t="b">
        <v>0</v>
      </c>
      <c r="AA11" s="52" t="str">
        <f>IF(OR(Tbl_B5_Help_ANS[[#This Row],[State]]="NJ",Tbl_B5_Help_ANS[[#This Row],[Start Year ("YYYY") ANS]]="2012"),"Approve","Deny")</f>
        <v>Deny</v>
      </c>
      <c r="AB11" s="48" t="str">
        <f>IFERROR(IF(Tbl_B5_Help_ANS[[#This Row],[If State is "NJ" OR Start Year is "2012" then "Approve", otherwise "Deny"]]="","",IF(AND(_xlfn.ISFORMULA(Tbl_B5_Help_ANS[[#This Row],[If State is "NJ" OR Start Year is "2012" then "Approve", otherwise "Deny"]]),EXACT(Tbl_B5_Help_ANS[[#This Row],[If State is "NJ" OR Start Year is "2012" then "Approve", otherwise "Deny"]],Tbl_B5_Help_ANS[[#This Row],[If State is "NJ" OR Start Year is "2012" then "Approve", otherwise "Deny" ANS]])),Rng_Lkp_AnswerStatus_Good,Rng_Lkp_AnswerStatus_Bad)),Rng_Lkp_AnswerStatus_Bad)</f>
        <v>Correct</v>
      </c>
      <c r="AC11" s="54" t="s">
        <v>221</v>
      </c>
    </row>
    <row r="12" spans="1:29" x14ac:dyDescent="0.25">
      <c r="B12" s="11">
        <v>2352</v>
      </c>
      <c r="C12" s="11" t="s">
        <v>139</v>
      </c>
      <c r="D12" s="12" t="s">
        <v>53</v>
      </c>
      <c r="E12" s="12">
        <v>43466</v>
      </c>
      <c r="F12" s="89" t="str">
        <f>TEXT(Tbl_B5_Help_ANS[[#This Row],[Member Start Date]],"DDD")</f>
        <v>Tue</v>
      </c>
      <c r="G12" s="27" t="str">
        <f>IFERROR(IF(Tbl_B5_Help_ANS[[#This Row],[Start Weekday ("DDD")]]="","",IF(AND(_xlfn.ISFORMULA(Tbl_B5_Help_ANS[[#This Row],[Start Weekday ("DDD")]]),EXACT(Tbl_B5_Help_ANS[[#This Row],[Start Weekday ("DDD")]],Tbl_B5_Help_ANS[[#This Row],[Start Weekday ("DDD") ANS]])),Rng_Lkp_AnswerStatus_Good,Rng_Lkp_AnswerStatus_Bad)),Rng_Lkp_AnswerStatus_Bad)</f>
        <v>Correct</v>
      </c>
      <c r="H12" s="41" t="s">
        <v>157</v>
      </c>
      <c r="I12" s="89" t="str">
        <f>TEXT(Tbl_B5_Help_ANS[[#This Row],[Member Start Date]],"MMM")</f>
        <v>Jan</v>
      </c>
      <c r="J12" s="27" t="str">
        <f>IFERROR(IF(Tbl_B5_Help_ANS[[#This Row],[Start Month ("MMM")]]="","",IF(AND(_xlfn.ISFORMULA(Tbl_B5_Help_ANS[[#This Row],[Start Month ("MMM")]]),EXACT(Tbl_B5_Help_ANS[[#This Row],[Start Month ("MMM")]],Tbl_B5_Help_ANS[[#This Row],[Start Month ("MMM") ANS]])),Rng_Lkp_AnswerStatus_Good,Rng_Lkp_AnswerStatus_Bad)),Rng_Lkp_AnswerStatus_Bad)</f>
        <v>Correct</v>
      </c>
      <c r="K12" s="41" t="s">
        <v>163</v>
      </c>
      <c r="L12" s="89" t="str">
        <f>TEXT(Tbl_B5_Help_ANS[[#This Row],[Member Start Date]],"D")</f>
        <v>1</v>
      </c>
      <c r="M12" s="27" t="str">
        <f>IFERROR(IF(Tbl_B5_Help_ANS[[#This Row],[Start Day ("D")]]="","",IF(AND(_xlfn.ISFORMULA(Tbl_B5_Help_ANS[[#This Row],[Start Day ("D")]]),EXACT(Tbl_B5_Help_ANS[[#This Row],[Start Day ("D")]],Tbl_B5_Help_ANS[[#This Row],[Start Day ("D") ANS]])),Rng_Lkp_AnswerStatus_Good,Rng_Lkp_AnswerStatus_Bad)),Rng_Lkp_AnswerStatus_Bad)</f>
        <v>Correct</v>
      </c>
      <c r="N12" s="41" t="s">
        <v>174</v>
      </c>
      <c r="O12" s="89" t="str">
        <f>TEXT(Tbl_B5_Help_ANS[[#This Row],[Member Start Date]],"YYYY")</f>
        <v>2019</v>
      </c>
      <c r="P12" s="27" t="str">
        <f>IFERROR(IF(Tbl_B5_Help_ANS[[#This Row],[Start Year ("YYYY")]]="","",IF(AND(_xlfn.ISFORMULA(Tbl_B5_Help_ANS[[#This Row],[Start Year ("YYYY")]]),EXACT(Tbl_B5_Help_ANS[[#This Row],[Start Year ("YYYY")]],Tbl_B5_Help_ANS[[#This Row],[Start Year ("YYYY") ANS]])),Rng_Lkp_AnswerStatus_Good,Rng_Lkp_AnswerStatus_Bad)),Rng_Lkp_AnswerStatus_Bad)</f>
        <v>Correct</v>
      </c>
      <c r="Q12" s="41" t="s">
        <v>189</v>
      </c>
      <c r="R12" s="89" t="str">
        <f>_xlfn.CONCAT(Tbl_B5_Help_ANS[[#This Row],[Start Weekday ("DDD")]],", ",Tbl_B5_Help_ANS[[#This Row],[Start Month ("MMM")]]," ",Tbl_B5_Help_ANS[[#This Row],[Start Day ("D")]],", ",Tbl_B5_Help_ANS[[#This Row],[Start Year ("YYYY")]])</f>
        <v>Tue, Jan 1, 2019</v>
      </c>
      <c r="S12" s="48" t="str">
        <f>IFERROR(IF(Tbl_B5_Help_ANS[[#This Row],[Full Date ("DDD, MMM D, YYYY")]]="","",IF(AND(_xlfn.ISFORMULA(Tbl_B5_Help_ANS[[#This Row],[Full Date ("DDD, MMM D, YYYY")]]),EXACT(Tbl_B5_Help_ANS[[#This Row],[Full Date ("DDD, MMM D, YYYY")]],Tbl_B5_Help_ANS[[#This Row],[Full Date ("DDD, MMM D, YYYY") ANS]])),Rng_Lkp_AnswerStatus_Good,Rng_Lkp_AnswerStatus_Bad)),Rng_Lkp_AnswerStatus_Bad)</f>
        <v>Correct</v>
      </c>
      <c r="T12" s="41" t="s">
        <v>199</v>
      </c>
      <c r="U12" s="52" t="b">
        <f>AND(Tbl_B5_Help_ANS[[#This Row],[State]]="NY",Tbl_B5_Help_ANS[[#This Row],[Start Year ("YYYY") ANS]]="2019")</f>
        <v>0</v>
      </c>
      <c r="V12" s="48" t="str">
        <f>IFERROR(IF(Tbl_B5_Help_ANS[[#This Row],[State is "NY" AND Start Year is "2019" (TRUE/FALSE)]]="","",IF(AND(_xlfn.ISFORMULA(Tbl_B5_Help_ANS[[#This Row],[State is "NY" AND Start Year is "2019" (TRUE/FALSE)]]),EXACT(Tbl_B5_Help_ANS[[#This Row],[State is "NY" AND Start Year is "2019" (TRUE/FALSE)]],Tbl_B5_Help_ANS[[#This Row],[State is "NY" AND Start Year is "2019" (TRUE/FALSE) ANS]])),Rng_Lkp_AnswerStatus_Good,Rng_Lkp_AnswerStatus_Bad)),Rng_Lkp_AnswerStatus_Bad)</f>
        <v>Correct</v>
      </c>
      <c r="W12" s="54" t="b">
        <v>0</v>
      </c>
      <c r="X12" s="52" t="b">
        <f>OR(Tbl_B5_Help_ANS[[#This Row],[State]]="NY",Tbl_B5_Help_ANS[[#This Row],[Start Year ("YYYY")]]="2019")</f>
        <v>1</v>
      </c>
      <c r="Y12" s="48" t="str">
        <f>IFERROR(IF(Tbl_B5_Help_ANS[[#This Row],[State is "NY" OR Start Year is "2019" (TRUE/FALSE)]]="","",IF(AND(_xlfn.ISFORMULA(Tbl_B5_Help_ANS[[#This Row],[State is "NY" OR Start Year is "2019" (TRUE/FALSE)]]),EXACT(Tbl_B5_Help_ANS[[#This Row],[State is "NY" OR Start Year is "2019" (TRUE/FALSE)]],Tbl_B5_Help_ANS[[#This Row],[State is "NY" OR Start Year is "2019" (TRUE/FALSE) ANS]])),Rng_Lkp_AnswerStatus_Good,Rng_Lkp_AnswerStatus_Bad)),Rng_Lkp_AnswerStatus_Bad)</f>
        <v>Correct</v>
      </c>
      <c r="Z12" s="54" t="b">
        <v>1</v>
      </c>
      <c r="AA12" s="52" t="str">
        <f>IF(OR(Tbl_B5_Help_ANS[[#This Row],[State]]="NJ",Tbl_B5_Help_ANS[[#This Row],[Start Year ("YYYY") ANS]]="2012"),"Approve","Deny")</f>
        <v>Deny</v>
      </c>
      <c r="AB12" s="48" t="str">
        <f>IFERROR(IF(Tbl_B5_Help_ANS[[#This Row],[If State is "NJ" OR Start Year is "2012" then "Approve", otherwise "Deny"]]="","",IF(AND(_xlfn.ISFORMULA(Tbl_B5_Help_ANS[[#This Row],[If State is "NJ" OR Start Year is "2012" then "Approve", otherwise "Deny"]]),EXACT(Tbl_B5_Help_ANS[[#This Row],[If State is "NJ" OR Start Year is "2012" then "Approve", otherwise "Deny"]],Tbl_B5_Help_ANS[[#This Row],[If State is "NJ" OR Start Year is "2012" then "Approve", otherwise "Deny" ANS]])),Rng_Lkp_AnswerStatus_Good,Rng_Lkp_AnswerStatus_Bad)),Rng_Lkp_AnswerStatus_Bad)</f>
        <v>Correct</v>
      </c>
      <c r="AC12" s="54" t="s">
        <v>221</v>
      </c>
    </row>
    <row r="13" spans="1:29" x14ac:dyDescent="0.25">
      <c r="B13" s="11">
        <v>1049</v>
      </c>
      <c r="C13" s="11" t="s">
        <v>140</v>
      </c>
      <c r="D13" s="12" t="s">
        <v>54</v>
      </c>
      <c r="E13" s="12">
        <v>40855</v>
      </c>
      <c r="F13" s="89" t="str">
        <f>TEXT(Tbl_B5_Help_ANS[[#This Row],[Member Start Date]],"DDD")</f>
        <v>Tue</v>
      </c>
      <c r="G13" s="27" t="str">
        <f>IFERROR(IF(Tbl_B5_Help_ANS[[#This Row],[Start Weekday ("DDD")]]="","",IF(AND(_xlfn.ISFORMULA(Tbl_B5_Help_ANS[[#This Row],[Start Weekday ("DDD")]]),EXACT(Tbl_B5_Help_ANS[[#This Row],[Start Weekday ("DDD")]],Tbl_B5_Help_ANS[[#This Row],[Start Weekday ("DDD") ANS]])),Rng_Lkp_AnswerStatus_Good,Rng_Lkp_AnswerStatus_Bad)),Rng_Lkp_AnswerStatus_Bad)</f>
        <v>Correct</v>
      </c>
      <c r="H13" s="41" t="s">
        <v>157</v>
      </c>
      <c r="I13" s="89" t="str">
        <f>TEXT(Tbl_B5_Help_ANS[[#This Row],[Member Start Date]],"MMM")</f>
        <v>Nov</v>
      </c>
      <c r="J13" s="27" t="str">
        <f>IFERROR(IF(Tbl_B5_Help_ANS[[#This Row],[Start Month ("MMM")]]="","",IF(AND(_xlfn.ISFORMULA(Tbl_B5_Help_ANS[[#This Row],[Start Month ("MMM")]]),EXACT(Tbl_B5_Help_ANS[[#This Row],[Start Month ("MMM")]],Tbl_B5_Help_ANS[[#This Row],[Start Month ("MMM") ANS]])),Rng_Lkp_AnswerStatus_Good,Rng_Lkp_AnswerStatus_Bad)),Rng_Lkp_AnswerStatus_Bad)</f>
        <v>Correct</v>
      </c>
      <c r="K13" s="41" t="s">
        <v>164</v>
      </c>
      <c r="L13" s="89" t="str">
        <f>TEXT(Tbl_B5_Help_ANS[[#This Row],[Member Start Date]],"D")</f>
        <v>8</v>
      </c>
      <c r="M13" s="27" t="str">
        <f>IFERROR(IF(Tbl_B5_Help_ANS[[#This Row],[Start Day ("D")]]="","",IF(AND(_xlfn.ISFORMULA(Tbl_B5_Help_ANS[[#This Row],[Start Day ("D")]]),EXACT(Tbl_B5_Help_ANS[[#This Row],[Start Day ("D")]],Tbl_B5_Help_ANS[[#This Row],[Start Day ("D") ANS]])),Rng_Lkp_AnswerStatus_Good,Rng_Lkp_AnswerStatus_Bad)),Rng_Lkp_AnswerStatus_Bad)</f>
        <v>Correct</v>
      </c>
      <c r="N13" s="41" t="s">
        <v>177</v>
      </c>
      <c r="O13" s="89" t="str">
        <f>TEXT(Tbl_B5_Help_ANS[[#This Row],[Member Start Date]],"YYYY")</f>
        <v>2011</v>
      </c>
      <c r="P13" s="27" t="str">
        <f>IFERROR(IF(Tbl_B5_Help_ANS[[#This Row],[Start Year ("YYYY")]]="","",IF(AND(_xlfn.ISFORMULA(Tbl_B5_Help_ANS[[#This Row],[Start Year ("YYYY")]]),EXACT(Tbl_B5_Help_ANS[[#This Row],[Start Year ("YYYY")]],Tbl_B5_Help_ANS[[#This Row],[Start Year ("YYYY") ANS]])),Rng_Lkp_AnswerStatus_Good,Rng_Lkp_AnswerStatus_Bad)),Rng_Lkp_AnswerStatus_Bad)</f>
        <v>Correct</v>
      </c>
      <c r="Q13" s="41" t="s">
        <v>192</v>
      </c>
      <c r="R13" s="89" t="str">
        <f>_xlfn.CONCAT(Tbl_B5_Help_ANS[[#This Row],[Start Weekday ("DDD")]],", ",Tbl_B5_Help_ANS[[#This Row],[Start Month ("MMM")]]," ",Tbl_B5_Help_ANS[[#This Row],[Start Day ("D")]],", ",Tbl_B5_Help_ANS[[#This Row],[Start Year ("YYYY")]])</f>
        <v>Tue, Nov 8, 2011</v>
      </c>
      <c r="S13" s="48" t="str">
        <f>IFERROR(IF(Tbl_B5_Help_ANS[[#This Row],[Full Date ("DDD, MMM D, YYYY")]]="","",IF(AND(_xlfn.ISFORMULA(Tbl_B5_Help_ANS[[#This Row],[Full Date ("DDD, MMM D, YYYY")]]),EXACT(Tbl_B5_Help_ANS[[#This Row],[Full Date ("DDD, MMM D, YYYY")]],Tbl_B5_Help_ANS[[#This Row],[Full Date ("DDD, MMM D, YYYY") ANS]])),Rng_Lkp_AnswerStatus_Good,Rng_Lkp_AnswerStatus_Bad)),Rng_Lkp_AnswerStatus_Bad)</f>
        <v>Correct</v>
      </c>
      <c r="T13" s="41" t="s">
        <v>203</v>
      </c>
      <c r="U13" s="52" t="b">
        <f>AND(Tbl_B5_Help_ANS[[#This Row],[State]]="NY",Tbl_B5_Help_ANS[[#This Row],[Start Year ("YYYY") ANS]]="2019")</f>
        <v>0</v>
      </c>
      <c r="V13" s="48" t="str">
        <f>IFERROR(IF(Tbl_B5_Help_ANS[[#This Row],[State is "NY" AND Start Year is "2019" (TRUE/FALSE)]]="","",IF(AND(_xlfn.ISFORMULA(Tbl_B5_Help_ANS[[#This Row],[State is "NY" AND Start Year is "2019" (TRUE/FALSE)]]),EXACT(Tbl_B5_Help_ANS[[#This Row],[State is "NY" AND Start Year is "2019" (TRUE/FALSE)]],Tbl_B5_Help_ANS[[#This Row],[State is "NY" AND Start Year is "2019" (TRUE/FALSE) ANS]])),Rng_Lkp_AnswerStatus_Good,Rng_Lkp_AnswerStatus_Bad)),Rng_Lkp_AnswerStatus_Bad)</f>
        <v>Correct</v>
      </c>
      <c r="W13" s="54" t="b">
        <v>0</v>
      </c>
      <c r="X13" s="52" t="b">
        <f>OR(Tbl_B5_Help_ANS[[#This Row],[State]]="NY",Tbl_B5_Help_ANS[[#This Row],[Start Year ("YYYY")]]="2019")</f>
        <v>0</v>
      </c>
      <c r="Y13" s="48" t="str">
        <f>IFERROR(IF(Tbl_B5_Help_ANS[[#This Row],[State is "NY" OR Start Year is "2019" (TRUE/FALSE)]]="","",IF(AND(_xlfn.ISFORMULA(Tbl_B5_Help_ANS[[#This Row],[State is "NY" OR Start Year is "2019" (TRUE/FALSE)]]),EXACT(Tbl_B5_Help_ANS[[#This Row],[State is "NY" OR Start Year is "2019" (TRUE/FALSE)]],Tbl_B5_Help_ANS[[#This Row],[State is "NY" OR Start Year is "2019" (TRUE/FALSE) ANS]])),Rng_Lkp_AnswerStatus_Good,Rng_Lkp_AnswerStatus_Bad)),Rng_Lkp_AnswerStatus_Bad)</f>
        <v>Correct</v>
      </c>
      <c r="Z13" s="54" t="b">
        <v>0</v>
      </c>
      <c r="AA13" s="52" t="str">
        <f>IF(OR(Tbl_B5_Help_ANS[[#This Row],[State]]="NJ",Tbl_B5_Help_ANS[[#This Row],[Start Year ("YYYY") ANS]]="2012"),"Approve","Deny")</f>
        <v>Deny</v>
      </c>
      <c r="AB13" s="48" t="str">
        <f>IFERROR(IF(Tbl_B5_Help_ANS[[#This Row],[If State is "NJ" OR Start Year is "2012" then "Approve", otherwise "Deny"]]="","",IF(AND(_xlfn.ISFORMULA(Tbl_B5_Help_ANS[[#This Row],[If State is "NJ" OR Start Year is "2012" then "Approve", otherwise "Deny"]]),EXACT(Tbl_B5_Help_ANS[[#This Row],[If State is "NJ" OR Start Year is "2012" then "Approve", otherwise "Deny"]],Tbl_B5_Help_ANS[[#This Row],[If State is "NJ" OR Start Year is "2012" then "Approve", otherwise "Deny" ANS]])),Rng_Lkp_AnswerStatus_Good,Rng_Lkp_AnswerStatus_Bad)),Rng_Lkp_AnswerStatus_Bad)</f>
        <v>Correct</v>
      </c>
      <c r="AC13" s="54" t="s">
        <v>221</v>
      </c>
    </row>
    <row r="14" spans="1:29" x14ac:dyDescent="0.25">
      <c r="B14" s="11">
        <v>2278</v>
      </c>
      <c r="C14" s="11" t="s">
        <v>141</v>
      </c>
      <c r="D14" s="12" t="s">
        <v>51</v>
      </c>
      <c r="E14" s="12">
        <v>42166</v>
      </c>
      <c r="F14" s="89" t="str">
        <f>TEXT(Tbl_B5_Help_ANS[[#This Row],[Member Start Date]],"DDD")</f>
        <v>Thu</v>
      </c>
      <c r="G14" s="27" t="str">
        <f>IFERROR(IF(Tbl_B5_Help_ANS[[#This Row],[Start Weekday ("DDD")]]="","",IF(AND(_xlfn.ISFORMULA(Tbl_B5_Help_ANS[[#This Row],[Start Weekday ("DDD")]]),EXACT(Tbl_B5_Help_ANS[[#This Row],[Start Weekday ("DDD")]],Tbl_B5_Help_ANS[[#This Row],[Start Weekday ("DDD") ANS]])),Rng_Lkp_AnswerStatus_Good,Rng_Lkp_AnswerStatus_Bad)),Rng_Lkp_AnswerStatus_Bad)</f>
        <v>Correct</v>
      </c>
      <c r="H14" s="41" t="s">
        <v>161</v>
      </c>
      <c r="I14" s="89" t="str">
        <f>TEXT(Tbl_B5_Help_ANS[[#This Row],[Member Start Date]],"MMM")</f>
        <v>Jun</v>
      </c>
      <c r="J14" s="27" t="str">
        <f>IFERROR(IF(Tbl_B5_Help_ANS[[#This Row],[Start Month ("MMM")]]="","",IF(AND(_xlfn.ISFORMULA(Tbl_B5_Help_ANS[[#This Row],[Start Month ("MMM")]]),EXACT(Tbl_B5_Help_ANS[[#This Row],[Start Month ("MMM")]],Tbl_B5_Help_ANS[[#This Row],[Start Month ("MMM") ANS]])),Rng_Lkp_AnswerStatus_Good,Rng_Lkp_AnswerStatus_Bad)),Rng_Lkp_AnswerStatus_Bad)</f>
        <v>Correct</v>
      </c>
      <c r="K14" s="41" t="s">
        <v>166</v>
      </c>
      <c r="L14" s="89" t="str">
        <f>TEXT(Tbl_B5_Help_ANS[[#This Row],[Member Start Date]],"D")</f>
        <v>11</v>
      </c>
      <c r="M14" s="27" t="str">
        <f>IFERROR(IF(Tbl_B5_Help_ANS[[#This Row],[Start Day ("D")]]="","",IF(AND(_xlfn.ISFORMULA(Tbl_B5_Help_ANS[[#This Row],[Start Day ("D")]]),EXACT(Tbl_B5_Help_ANS[[#This Row],[Start Day ("D")]],Tbl_B5_Help_ANS[[#This Row],[Start Day ("D") ANS]])),Rng_Lkp_AnswerStatus_Good,Rng_Lkp_AnswerStatus_Bad)),Rng_Lkp_AnswerStatus_Bad)</f>
        <v>Correct</v>
      </c>
      <c r="N14" s="41" t="s">
        <v>178</v>
      </c>
      <c r="O14" s="89" t="str">
        <f>TEXT(Tbl_B5_Help_ANS[[#This Row],[Member Start Date]],"YYYY")</f>
        <v>2015</v>
      </c>
      <c r="P14" s="27" t="str">
        <f>IFERROR(IF(Tbl_B5_Help_ANS[[#This Row],[Start Year ("YYYY")]]="","",IF(AND(_xlfn.ISFORMULA(Tbl_B5_Help_ANS[[#This Row],[Start Year ("YYYY")]]),EXACT(Tbl_B5_Help_ANS[[#This Row],[Start Year ("YYYY")]],Tbl_B5_Help_ANS[[#This Row],[Start Year ("YYYY") ANS]])),Rng_Lkp_AnswerStatus_Good,Rng_Lkp_AnswerStatus_Bad)),Rng_Lkp_AnswerStatus_Bad)</f>
        <v>Correct</v>
      </c>
      <c r="Q14" s="41" t="s">
        <v>193</v>
      </c>
      <c r="R14" s="89" t="str">
        <f>_xlfn.CONCAT(Tbl_B5_Help_ANS[[#This Row],[Start Weekday ("DDD")]],", ",Tbl_B5_Help_ANS[[#This Row],[Start Month ("MMM")]]," ",Tbl_B5_Help_ANS[[#This Row],[Start Day ("D")]],", ",Tbl_B5_Help_ANS[[#This Row],[Start Year ("YYYY")]])</f>
        <v>Thu, Jun 11, 2015</v>
      </c>
      <c r="S14" s="48" t="str">
        <f>IFERROR(IF(Tbl_B5_Help_ANS[[#This Row],[Full Date ("DDD, MMM D, YYYY")]]="","",IF(AND(_xlfn.ISFORMULA(Tbl_B5_Help_ANS[[#This Row],[Full Date ("DDD, MMM D, YYYY")]]),EXACT(Tbl_B5_Help_ANS[[#This Row],[Full Date ("DDD, MMM D, YYYY")]],Tbl_B5_Help_ANS[[#This Row],[Full Date ("DDD, MMM D, YYYY") ANS]])),Rng_Lkp_AnswerStatus_Good,Rng_Lkp_AnswerStatus_Bad)),Rng_Lkp_AnswerStatus_Bad)</f>
        <v>Correct</v>
      </c>
      <c r="T14" s="41" t="s">
        <v>204</v>
      </c>
      <c r="U14" s="52" t="b">
        <f>AND(Tbl_B5_Help_ANS[[#This Row],[State]]="NY",Tbl_B5_Help_ANS[[#This Row],[Start Year ("YYYY") ANS]]="2019")</f>
        <v>0</v>
      </c>
      <c r="V14" s="48" t="str">
        <f>IFERROR(IF(Tbl_B5_Help_ANS[[#This Row],[State is "NY" AND Start Year is "2019" (TRUE/FALSE)]]="","",IF(AND(_xlfn.ISFORMULA(Tbl_B5_Help_ANS[[#This Row],[State is "NY" AND Start Year is "2019" (TRUE/FALSE)]]),EXACT(Tbl_B5_Help_ANS[[#This Row],[State is "NY" AND Start Year is "2019" (TRUE/FALSE)]],Tbl_B5_Help_ANS[[#This Row],[State is "NY" AND Start Year is "2019" (TRUE/FALSE) ANS]])),Rng_Lkp_AnswerStatus_Good,Rng_Lkp_AnswerStatus_Bad)),Rng_Lkp_AnswerStatus_Bad)</f>
        <v>Correct</v>
      </c>
      <c r="W14" s="54" t="b">
        <v>0</v>
      </c>
      <c r="X14" s="52" t="b">
        <f>OR(Tbl_B5_Help_ANS[[#This Row],[State]]="NY",Tbl_B5_Help_ANS[[#This Row],[Start Year ("YYYY")]]="2019")</f>
        <v>0</v>
      </c>
      <c r="Y14" s="48" t="str">
        <f>IFERROR(IF(Tbl_B5_Help_ANS[[#This Row],[State is "NY" OR Start Year is "2019" (TRUE/FALSE)]]="","",IF(AND(_xlfn.ISFORMULA(Tbl_B5_Help_ANS[[#This Row],[State is "NY" OR Start Year is "2019" (TRUE/FALSE)]]),EXACT(Tbl_B5_Help_ANS[[#This Row],[State is "NY" OR Start Year is "2019" (TRUE/FALSE)]],Tbl_B5_Help_ANS[[#This Row],[State is "NY" OR Start Year is "2019" (TRUE/FALSE) ANS]])),Rng_Lkp_AnswerStatus_Good,Rng_Lkp_AnswerStatus_Bad)),Rng_Lkp_AnswerStatus_Bad)</f>
        <v>Correct</v>
      </c>
      <c r="Z14" s="54" t="b">
        <v>0</v>
      </c>
      <c r="AA14" s="52" t="str">
        <f>IF(OR(Tbl_B5_Help_ANS[[#This Row],[State]]="NJ",Tbl_B5_Help_ANS[[#This Row],[Start Year ("YYYY") ANS]]="2012"),"Approve","Deny")</f>
        <v>Approve</v>
      </c>
      <c r="AB14" s="48" t="str">
        <f>IFERROR(IF(Tbl_B5_Help_ANS[[#This Row],[If State is "NJ" OR Start Year is "2012" then "Approve", otherwise "Deny"]]="","",IF(AND(_xlfn.ISFORMULA(Tbl_B5_Help_ANS[[#This Row],[If State is "NJ" OR Start Year is "2012" then "Approve", otherwise "Deny"]]),EXACT(Tbl_B5_Help_ANS[[#This Row],[If State is "NJ" OR Start Year is "2012" then "Approve", otherwise "Deny"]],Tbl_B5_Help_ANS[[#This Row],[If State is "NJ" OR Start Year is "2012" then "Approve", otherwise "Deny" ANS]])),Rng_Lkp_AnswerStatus_Good,Rng_Lkp_AnswerStatus_Bad)),Rng_Lkp_AnswerStatus_Bad)</f>
        <v>Correct</v>
      </c>
      <c r="AC14" s="54" t="s">
        <v>222</v>
      </c>
    </row>
    <row r="15" spans="1:29" x14ac:dyDescent="0.25">
      <c r="B15" s="11">
        <v>4071</v>
      </c>
      <c r="C15" s="11" t="s">
        <v>15</v>
      </c>
      <c r="D15" s="12" t="s">
        <v>52</v>
      </c>
      <c r="E15" s="12">
        <v>43466</v>
      </c>
      <c r="F15" s="89" t="str">
        <f>TEXT(Tbl_B5_Help_ANS[[#This Row],[Member Start Date]],"DDD")</f>
        <v>Tue</v>
      </c>
      <c r="G15" s="27" t="str">
        <f>IFERROR(IF(Tbl_B5_Help_ANS[[#This Row],[Start Weekday ("DDD")]]="","",IF(AND(_xlfn.ISFORMULA(Tbl_B5_Help_ANS[[#This Row],[Start Weekday ("DDD")]]),EXACT(Tbl_B5_Help_ANS[[#This Row],[Start Weekday ("DDD")]],Tbl_B5_Help_ANS[[#This Row],[Start Weekday ("DDD") ANS]])),Rng_Lkp_AnswerStatus_Good,Rng_Lkp_AnswerStatus_Bad)),Rng_Lkp_AnswerStatus_Bad)</f>
        <v>Correct</v>
      </c>
      <c r="H15" s="41" t="s">
        <v>157</v>
      </c>
      <c r="I15" s="89" t="str">
        <f>TEXT(Tbl_B5_Help_ANS[[#This Row],[Member Start Date]],"MMM")</f>
        <v>Jan</v>
      </c>
      <c r="J15" s="27" t="str">
        <f>IFERROR(IF(Tbl_B5_Help_ANS[[#This Row],[Start Month ("MMM")]]="","",IF(AND(_xlfn.ISFORMULA(Tbl_B5_Help_ANS[[#This Row],[Start Month ("MMM")]]),EXACT(Tbl_B5_Help_ANS[[#This Row],[Start Month ("MMM")]],Tbl_B5_Help_ANS[[#This Row],[Start Month ("MMM") ANS]])),Rng_Lkp_AnswerStatus_Good,Rng_Lkp_AnswerStatus_Bad)),Rng_Lkp_AnswerStatus_Bad)</f>
        <v>Correct</v>
      </c>
      <c r="K15" s="41" t="s">
        <v>163</v>
      </c>
      <c r="L15" s="89" t="str">
        <f>TEXT(Tbl_B5_Help_ANS[[#This Row],[Member Start Date]],"D")</f>
        <v>1</v>
      </c>
      <c r="M15" s="27" t="str">
        <f>IFERROR(IF(Tbl_B5_Help_ANS[[#This Row],[Start Day ("D")]]="","",IF(AND(_xlfn.ISFORMULA(Tbl_B5_Help_ANS[[#This Row],[Start Day ("D")]]),EXACT(Tbl_B5_Help_ANS[[#This Row],[Start Day ("D")]],Tbl_B5_Help_ANS[[#This Row],[Start Day ("D") ANS]])),Rng_Lkp_AnswerStatus_Good,Rng_Lkp_AnswerStatus_Bad)),Rng_Lkp_AnswerStatus_Bad)</f>
        <v>Correct</v>
      </c>
      <c r="N15" s="41" t="s">
        <v>174</v>
      </c>
      <c r="O15" s="89" t="str">
        <f>TEXT(Tbl_B5_Help_ANS[[#This Row],[Member Start Date]],"YYYY")</f>
        <v>2019</v>
      </c>
      <c r="P15" s="27" t="str">
        <f>IFERROR(IF(Tbl_B5_Help_ANS[[#This Row],[Start Year ("YYYY")]]="","",IF(AND(_xlfn.ISFORMULA(Tbl_B5_Help_ANS[[#This Row],[Start Year ("YYYY")]]),EXACT(Tbl_B5_Help_ANS[[#This Row],[Start Year ("YYYY")]],Tbl_B5_Help_ANS[[#This Row],[Start Year ("YYYY") ANS]])),Rng_Lkp_AnswerStatus_Good,Rng_Lkp_AnswerStatus_Bad)),Rng_Lkp_AnswerStatus_Bad)</f>
        <v>Correct</v>
      </c>
      <c r="Q15" s="41" t="s">
        <v>189</v>
      </c>
      <c r="R15" s="89" t="str">
        <f>_xlfn.CONCAT(Tbl_B5_Help_ANS[[#This Row],[Start Weekday ("DDD")]],", ",Tbl_B5_Help_ANS[[#This Row],[Start Month ("MMM")]]," ",Tbl_B5_Help_ANS[[#This Row],[Start Day ("D")]],", ",Tbl_B5_Help_ANS[[#This Row],[Start Year ("YYYY")]])</f>
        <v>Tue, Jan 1, 2019</v>
      </c>
      <c r="S15" s="48" t="str">
        <f>IFERROR(IF(Tbl_B5_Help_ANS[[#This Row],[Full Date ("DDD, MMM D, YYYY")]]="","",IF(AND(_xlfn.ISFORMULA(Tbl_B5_Help_ANS[[#This Row],[Full Date ("DDD, MMM D, YYYY")]]),EXACT(Tbl_B5_Help_ANS[[#This Row],[Full Date ("DDD, MMM D, YYYY")]],Tbl_B5_Help_ANS[[#This Row],[Full Date ("DDD, MMM D, YYYY") ANS]])),Rng_Lkp_AnswerStatus_Good,Rng_Lkp_AnswerStatus_Bad)),Rng_Lkp_AnswerStatus_Bad)</f>
        <v>Correct</v>
      </c>
      <c r="T15" s="41" t="s">
        <v>199</v>
      </c>
      <c r="U15" s="52" t="b">
        <f>AND(Tbl_B5_Help_ANS[[#This Row],[State]]="NY",Tbl_B5_Help_ANS[[#This Row],[Start Year ("YYYY") ANS]]="2019")</f>
        <v>0</v>
      </c>
      <c r="V15" s="48" t="str">
        <f>IFERROR(IF(Tbl_B5_Help_ANS[[#This Row],[State is "NY" AND Start Year is "2019" (TRUE/FALSE)]]="","",IF(AND(_xlfn.ISFORMULA(Tbl_B5_Help_ANS[[#This Row],[State is "NY" AND Start Year is "2019" (TRUE/FALSE)]]),EXACT(Tbl_B5_Help_ANS[[#This Row],[State is "NY" AND Start Year is "2019" (TRUE/FALSE)]],Tbl_B5_Help_ANS[[#This Row],[State is "NY" AND Start Year is "2019" (TRUE/FALSE) ANS]])),Rng_Lkp_AnswerStatus_Good,Rng_Lkp_AnswerStatus_Bad)),Rng_Lkp_AnswerStatus_Bad)</f>
        <v>Correct</v>
      </c>
      <c r="W15" s="54" t="b">
        <v>0</v>
      </c>
      <c r="X15" s="52" t="b">
        <f>OR(Tbl_B5_Help_ANS[[#This Row],[State]]="NY",Tbl_B5_Help_ANS[[#This Row],[Start Year ("YYYY")]]="2019")</f>
        <v>1</v>
      </c>
      <c r="Y15" s="48" t="str">
        <f>IFERROR(IF(Tbl_B5_Help_ANS[[#This Row],[State is "NY" OR Start Year is "2019" (TRUE/FALSE)]]="","",IF(AND(_xlfn.ISFORMULA(Tbl_B5_Help_ANS[[#This Row],[State is "NY" OR Start Year is "2019" (TRUE/FALSE)]]),EXACT(Tbl_B5_Help_ANS[[#This Row],[State is "NY" OR Start Year is "2019" (TRUE/FALSE)]],Tbl_B5_Help_ANS[[#This Row],[State is "NY" OR Start Year is "2019" (TRUE/FALSE) ANS]])),Rng_Lkp_AnswerStatus_Good,Rng_Lkp_AnswerStatus_Bad)),Rng_Lkp_AnswerStatus_Bad)</f>
        <v>Correct</v>
      </c>
      <c r="Z15" s="54" t="b">
        <v>1</v>
      </c>
      <c r="AA15" s="52" t="str">
        <f>IF(OR(Tbl_B5_Help_ANS[[#This Row],[State]]="NJ",Tbl_B5_Help_ANS[[#This Row],[Start Year ("YYYY") ANS]]="2012"),"Approve","Deny")</f>
        <v>Deny</v>
      </c>
      <c r="AB15" s="48" t="str">
        <f>IFERROR(IF(Tbl_B5_Help_ANS[[#This Row],[If State is "NJ" OR Start Year is "2012" then "Approve", otherwise "Deny"]]="","",IF(AND(_xlfn.ISFORMULA(Tbl_B5_Help_ANS[[#This Row],[If State is "NJ" OR Start Year is "2012" then "Approve", otherwise "Deny"]]),EXACT(Tbl_B5_Help_ANS[[#This Row],[If State is "NJ" OR Start Year is "2012" then "Approve", otherwise "Deny"]],Tbl_B5_Help_ANS[[#This Row],[If State is "NJ" OR Start Year is "2012" then "Approve", otherwise "Deny" ANS]])),Rng_Lkp_AnswerStatus_Good,Rng_Lkp_AnswerStatus_Bad)),Rng_Lkp_AnswerStatus_Bad)</f>
        <v>Correct</v>
      </c>
      <c r="AC15" s="54" t="s">
        <v>221</v>
      </c>
    </row>
    <row r="16" spans="1:29" x14ac:dyDescent="0.25">
      <c r="B16" s="11">
        <v>1066</v>
      </c>
      <c r="C16" s="11" t="s">
        <v>16</v>
      </c>
      <c r="D16" s="12" t="s">
        <v>55</v>
      </c>
      <c r="E16" s="12">
        <v>41568</v>
      </c>
      <c r="F16" s="89" t="str">
        <f>TEXT(Tbl_B5_Help_ANS[[#This Row],[Member Start Date]],"DDD")</f>
        <v>Mon</v>
      </c>
      <c r="G16" s="27" t="str">
        <f>IFERROR(IF(Tbl_B5_Help_ANS[[#This Row],[Start Weekday ("DDD")]]="","",IF(AND(_xlfn.ISFORMULA(Tbl_B5_Help_ANS[[#This Row],[Start Weekday ("DDD")]]),EXACT(Tbl_B5_Help_ANS[[#This Row],[Start Weekday ("DDD")]],Tbl_B5_Help_ANS[[#This Row],[Start Weekday ("DDD") ANS]])),Rng_Lkp_AnswerStatus_Good,Rng_Lkp_AnswerStatus_Bad)),Rng_Lkp_AnswerStatus_Bad)</f>
        <v>Correct</v>
      </c>
      <c r="H16" s="41" t="s">
        <v>158</v>
      </c>
      <c r="I16" s="89" t="str">
        <f>TEXT(Tbl_B5_Help_ANS[[#This Row],[Member Start Date]],"MMM")</f>
        <v>Oct</v>
      </c>
      <c r="J16" s="27" t="str">
        <f>IFERROR(IF(Tbl_B5_Help_ANS[[#This Row],[Start Month ("MMM")]]="","",IF(AND(_xlfn.ISFORMULA(Tbl_B5_Help_ANS[[#This Row],[Start Month ("MMM")]]),EXACT(Tbl_B5_Help_ANS[[#This Row],[Start Month ("MMM")]],Tbl_B5_Help_ANS[[#This Row],[Start Month ("MMM") ANS]])),Rng_Lkp_AnswerStatus_Good,Rng_Lkp_AnswerStatus_Bad)),Rng_Lkp_AnswerStatus_Bad)</f>
        <v>Correct</v>
      </c>
      <c r="K16" s="41" t="s">
        <v>167</v>
      </c>
      <c r="L16" s="89" t="str">
        <f>TEXT(Tbl_B5_Help_ANS[[#This Row],[Member Start Date]],"D")</f>
        <v>21</v>
      </c>
      <c r="M16" s="27" t="str">
        <f>IFERROR(IF(Tbl_B5_Help_ANS[[#This Row],[Start Day ("D")]]="","",IF(AND(_xlfn.ISFORMULA(Tbl_B5_Help_ANS[[#This Row],[Start Day ("D")]]),EXACT(Tbl_B5_Help_ANS[[#This Row],[Start Day ("D")]],Tbl_B5_Help_ANS[[#This Row],[Start Day ("D") ANS]])),Rng_Lkp_AnswerStatus_Good,Rng_Lkp_AnswerStatus_Bad)),Rng_Lkp_AnswerStatus_Bad)</f>
        <v>Correct</v>
      </c>
      <c r="N16" s="41" t="s">
        <v>179</v>
      </c>
      <c r="O16" s="89" t="str">
        <f>TEXT(Tbl_B5_Help_ANS[[#This Row],[Member Start Date]],"YYYY")</f>
        <v>2013</v>
      </c>
      <c r="P16" s="27" t="str">
        <f>IFERROR(IF(Tbl_B5_Help_ANS[[#This Row],[Start Year ("YYYY")]]="","",IF(AND(_xlfn.ISFORMULA(Tbl_B5_Help_ANS[[#This Row],[Start Year ("YYYY")]]),EXACT(Tbl_B5_Help_ANS[[#This Row],[Start Year ("YYYY")]],Tbl_B5_Help_ANS[[#This Row],[Start Year ("YYYY") ANS]])),Rng_Lkp_AnswerStatus_Good,Rng_Lkp_AnswerStatus_Bad)),Rng_Lkp_AnswerStatus_Bad)</f>
        <v>Correct</v>
      </c>
      <c r="Q16" s="41" t="s">
        <v>194</v>
      </c>
      <c r="R16" s="89" t="str">
        <f>_xlfn.CONCAT(Tbl_B5_Help_ANS[[#This Row],[Start Weekday ("DDD")]],", ",Tbl_B5_Help_ANS[[#This Row],[Start Month ("MMM")]]," ",Tbl_B5_Help_ANS[[#This Row],[Start Day ("D")]],", ",Tbl_B5_Help_ANS[[#This Row],[Start Year ("YYYY")]])</f>
        <v>Mon, Oct 21, 2013</v>
      </c>
      <c r="S16" s="48" t="str">
        <f>IFERROR(IF(Tbl_B5_Help_ANS[[#This Row],[Full Date ("DDD, MMM D, YYYY")]]="","",IF(AND(_xlfn.ISFORMULA(Tbl_B5_Help_ANS[[#This Row],[Full Date ("DDD, MMM D, YYYY")]]),EXACT(Tbl_B5_Help_ANS[[#This Row],[Full Date ("DDD, MMM D, YYYY")]],Tbl_B5_Help_ANS[[#This Row],[Full Date ("DDD, MMM D, YYYY") ANS]])),Rng_Lkp_AnswerStatus_Good,Rng_Lkp_AnswerStatus_Bad)),Rng_Lkp_AnswerStatus_Bad)</f>
        <v>Correct</v>
      </c>
      <c r="T16" s="41" t="s">
        <v>205</v>
      </c>
      <c r="U16" s="52" t="b">
        <f>AND(Tbl_B5_Help_ANS[[#This Row],[State]]="NY",Tbl_B5_Help_ANS[[#This Row],[Start Year ("YYYY") ANS]]="2019")</f>
        <v>0</v>
      </c>
      <c r="V16" s="48" t="str">
        <f>IFERROR(IF(Tbl_B5_Help_ANS[[#This Row],[State is "NY" AND Start Year is "2019" (TRUE/FALSE)]]="","",IF(AND(_xlfn.ISFORMULA(Tbl_B5_Help_ANS[[#This Row],[State is "NY" AND Start Year is "2019" (TRUE/FALSE)]]),EXACT(Tbl_B5_Help_ANS[[#This Row],[State is "NY" AND Start Year is "2019" (TRUE/FALSE)]],Tbl_B5_Help_ANS[[#This Row],[State is "NY" AND Start Year is "2019" (TRUE/FALSE) ANS]])),Rng_Lkp_AnswerStatus_Good,Rng_Lkp_AnswerStatus_Bad)),Rng_Lkp_AnswerStatus_Bad)</f>
        <v>Correct</v>
      </c>
      <c r="W16" s="54" t="b">
        <v>0</v>
      </c>
      <c r="X16" s="52" t="b">
        <f>OR(Tbl_B5_Help_ANS[[#This Row],[State]]="NY",Tbl_B5_Help_ANS[[#This Row],[Start Year ("YYYY")]]="2019")</f>
        <v>0</v>
      </c>
      <c r="Y16" s="48" t="str">
        <f>IFERROR(IF(Tbl_B5_Help_ANS[[#This Row],[State is "NY" OR Start Year is "2019" (TRUE/FALSE)]]="","",IF(AND(_xlfn.ISFORMULA(Tbl_B5_Help_ANS[[#This Row],[State is "NY" OR Start Year is "2019" (TRUE/FALSE)]]),EXACT(Tbl_B5_Help_ANS[[#This Row],[State is "NY" OR Start Year is "2019" (TRUE/FALSE)]],Tbl_B5_Help_ANS[[#This Row],[State is "NY" OR Start Year is "2019" (TRUE/FALSE) ANS]])),Rng_Lkp_AnswerStatus_Good,Rng_Lkp_AnswerStatus_Bad)),Rng_Lkp_AnswerStatus_Bad)</f>
        <v>Correct</v>
      </c>
      <c r="Z16" s="54" t="b">
        <v>0</v>
      </c>
      <c r="AA16" s="52" t="str">
        <f>IF(OR(Tbl_B5_Help_ANS[[#This Row],[State]]="NJ",Tbl_B5_Help_ANS[[#This Row],[Start Year ("YYYY") ANS]]="2012"),"Approve","Deny")</f>
        <v>Deny</v>
      </c>
      <c r="AB16" s="48" t="str">
        <f>IFERROR(IF(Tbl_B5_Help_ANS[[#This Row],[If State is "NJ" OR Start Year is "2012" then "Approve", otherwise "Deny"]]="","",IF(AND(_xlfn.ISFORMULA(Tbl_B5_Help_ANS[[#This Row],[If State is "NJ" OR Start Year is "2012" then "Approve", otherwise "Deny"]]),EXACT(Tbl_B5_Help_ANS[[#This Row],[If State is "NJ" OR Start Year is "2012" then "Approve", otherwise "Deny"]],Tbl_B5_Help_ANS[[#This Row],[If State is "NJ" OR Start Year is "2012" then "Approve", otherwise "Deny" ANS]])),Rng_Lkp_AnswerStatus_Good,Rng_Lkp_AnswerStatus_Bad)),Rng_Lkp_AnswerStatus_Bad)</f>
        <v>Correct</v>
      </c>
      <c r="AC16" s="54" t="s">
        <v>221</v>
      </c>
    </row>
    <row r="17" spans="2:29" x14ac:dyDescent="0.25">
      <c r="B17" s="11">
        <v>2316</v>
      </c>
      <c r="C17" s="11" t="s">
        <v>144</v>
      </c>
      <c r="D17" s="12" t="s">
        <v>56</v>
      </c>
      <c r="E17" s="12">
        <v>42898</v>
      </c>
      <c r="F17" s="89" t="str">
        <f>TEXT(Tbl_B5_Help_ANS[[#This Row],[Member Start Date]],"DDD")</f>
        <v>Mon</v>
      </c>
      <c r="G17" s="27" t="str">
        <f>IFERROR(IF(Tbl_B5_Help_ANS[[#This Row],[Start Weekday ("DDD")]]="","",IF(AND(_xlfn.ISFORMULA(Tbl_B5_Help_ANS[[#This Row],[Start Weekday ("DDD")]]),EXACT(Tbl_B5_Help_ANS[[#This Row],[Start Weekday ("DDD")]],Tbl_B5_Help_ANS[[#This Row],[Start Weekday ("DDD") ANS]])),Rng_Lkp_AnswerStatus_Good,Rng_Lkp_AnswerStatus_Bad)),Rng_Lkp_AnswerStatus_Bad)</f>
        <v>Correct</v>
      </c>
      <c r="H17" s="41" t="s">
        <v>158</v>
      </c>
      <c r="I17" s="89" t="str">
        <f>TEXT(Tbl_B5_Help_ANS[[#This Row],[Member Start Date]],"MMM")</f>
        <v>Jun</v>
      </c>
      <c r="J17" s="27" t="str">
        <f>IFERROR(IF(Tbl_B5_Help_ANS[[#This Row],[Start Month ("MMM")]]="","",IF(AND(_xlfn.ISFORMULA(Tbl_B5_Help_ANS[[#This Row],[Start Month ("MMM")]]),EXACT(Tbl_B5_Help_ANS[[#This Row],[Start Month ("MMM")]],Tbl_B5_Help_ANS[[#This Row],[Start Month ("MMM") ANS]])),Rng_Lkp_AnswerStatus_Good,Rng_Lkp_AnswerStatus_Bad)),Rng_Lkp_AnswerStatus_Bad)</f>
        <v>Correct</v>
      </c>
      <c r="K17" s="41" t="s">
        <v>166</v>
      </c>
      <c r="L17" s="89" t="str">
        <f>TEXT(Tbl_B5_Help_ANS[[#This Row],[Member Start Date]],"D")</f>
        <v>12</v>
      </c>
      <c r="M17" s="27" t="str">
        <f>IFERROR(IF(Tbl_B5_Help_ANS[[#This Row],[Start Day ("D")]]="","",IF(AND(_xlfn.ISFORMULA(Tbl_B5_Help_ANS[[#This Row],[Start Day ("D")]]),EXACT(Tbl_B5_Help_ANS[[#This Row],[Start Day ("D")]],Tbl_B5_Help_ANS[[#This Row],[Start Day ("D") ANS]])),Rng_Lkp_AnswerStatus_Good,Rng_Lkp_AnswerStatus_Bad)),Rng_Lkp_AnswerStatus_Bad)</f>
        <v>Correct</v>
      </c>
      <c r="N17" s="41" t="s">
        <v>180</v>
      </c>
      <c r="O17" s="89" t="str">
        <f>TEXT(Tbl_B5_Help_ANS[[#This Row],[Member Start Date]],"YYYY")</f>
        <v>2017</v>
      </c>
      <c r="P17" s="27" t="str">
        <f>IFERROR(IF(Tbl_B5_Help_ANS[[#This Row],[Start Year ("YYYY")]]="","",IF(AND(_xlfn.ISFORMULA(Tbl_B5_Help_ANS[[#This Row],[Start Year ("YYYY")]]),EXACT(Tbl_B5_Help_ANS[[#This Row],[Start Year ("YYYY")]],Tbl_B5_Help_ANS[[#This Row],[Start Year ("YYYY") ANS]])),Rng_Lkp_AnswerStatus_Good,Rng_Lkp_AnswerStatus_Bad)),Rng_Lkp_AnswerStatus_Bad)</f>
        <v>Correct</v>
      </c>
      <c r="Q17" s="41" t="s">
        <v>191</v>
      </c>
      <c r="R17" s="89" t="str">
        <f>_xlfn.CONCAT(Tbl_B5_Help_ANS[[#This Row],[Start Weekday ("DDD")]],", ",Tbl_B5_Help_ANS[[#This Row],[Start Month ("MMM")]]," ",Tbl_B5_Help_ANS[[#This Row],[Start Day ("D")]],", ",Tbl_B5_Help_ANS[[#This Row],[Start Year ("YYYY")]])</f>
        <v>Mon, Jun 12, 2017</v>
      </c>
      <c r="S17" s="48" t="str">
        <f>IFERROR(IF(Tbl_B5_Help_ANS[[#This Row],[Full Date ("DDD, MMM D, YYYY")]]="","",IF(AND(_xlfn.ISFORMULA(Tbl_B5_Help_ANS[[#This Row],[Full Date ("DDD, MMM D, YYYY")]]),EXACT(Tbl_B5_Help_ANS[[#This Row],[Full Date ("DDD, MMM D, YYYY")]],Tbl_B5_Help_ANS[[#This Row],[Full Date ("DDD, MMM D, YYYY") ANS]])),Rng_Lkp_AnswerStatus_Good,Rng_Lkp_AnswerStatus_Bad)),Rng_Lkp_AnswerStatus_Bad)</f>
        <v>Correct</v>
      </c>
      <c r="T17" s="41" t="s">
        <v>206</v>
      </c>
      <c r="U17" s="52" t="b">
        <f>AND(Tbl_B5_Help_ANS[[#This Row],[State]]="NY",Tbl_B5_Help_ANS[[#This Row],[Start Year ("YYYY") ANS]]="2019")</f>
        <v>0</v>
      </c>
      <c r="V17" s="48" t="str">
        <f>IFERROR(IF(Tbl_B5_Help_ANS[[#This Row],[State is "NY" AND Start Year is "2019" (TRUE/FALSE)]]="","",IF(AND(_xlfn.ISFORMULA(Tbl_B5_Help_ANS[[#This Row],[State is "NY" AND Start Year is "2019" (TRUE/FALSE)]]),EXACT(Tbl_B5_Help_ANS[[#This Row],[State is "NY" AND Start Year is "2019" (TRUE/FALSE)]],Tbl_B5_Help_ANS[[#This Row],[State is "NY" AND Start Year is "2019" (TRUE/FALSE) ANS]])),Rng_Lkp_AnswerStatus_Good,Rng_Lkp_AnswerStatus_Bad)),Rng_Lkp_AnswerStatus_Bad)</f>
        <v>Correct</v>
      </c>
      <c r="W17" s="54" t="b">
        <v>0</v>
      </c>
      <c r="X17" s="52" t="b">
        <f>OR(Tbl_B5_Help_ANS[[#This Row],[State]]="NY",Tbl_B5_Help_ANS[[#This Row],[Start Year ("YYYY")]]="2019")</f>
        <v>0</v>
      </c>
      <c r="Y17" s="48" t="str">
        <f>IFERROR(IF(Tbl_B5_Help_ANS[[#This Row],[State is "NY" OR Start Year is "2019" (TRUE/FALSE)]]="","",IF(AND(_xlfn.ISFORMULA(Tbl_B5_Help_ANS[[#This Row],[State is "NY" OR Start Year is "2019" (TRUE/FALSE)]]),EXACT(Tbl_B5_Help_ANS[[#This Row],[State is "NY" OR Start Year is "2019" (TRUE/FALSE)]],Tbl_B5_Help_ANS[[#This Row],[State is "NY" OR Start Year is "2019" (TRUE/FALSE) ANS]])),Rng_Lkp_AnswerStatus_Good,Rng_Lkp_AnswerStatus_Bad)),Rng_Lkp_AnswerStatus_Bad)</f>
        <v>Correct</v>
      </c>
      <c r="Z17" s="54" t="b">
        <v>0</v>
      </c>
      <c r="AA17" s="52" t="str">
        <f>IF(OR(Tbl_B5_Help_ANS[[#This Row],[State]]="NJ",Tbl_B5_Help_ANS[[#This Row],[Start Year ("YYYY") ANS]]="2012"),"Approve","Deny")</f>
        <v>Deny</v>
      </c>
      <c r="AB17" s="48" t="str">
        <f>IFERROR(IF(Tbl_B5_Help_ANS[[#This Row],[If State is "NJ" OR Start Year is "2012" then "Approve", otherwise "Deny"]]="","",IF(AND(_xlfn.ISFORMULA(Tbl_B5_Help_ANS[[#This Row],[If State is "NJ" OR Start Year is "2012" then "Approve", otherwise "Deny"]]),EXACT(Tbl_B5_Help_ANS[[#This Row],[If State is "NJ" OR Start Year is "2012" then "Approve", otherwise "Deny"]],Tbl_B5_Help_ANS[[#This Row],[If State is "NJ" OR Start Year is "2012" then "Approve", otherwise "Deny" ANS]])),Rng_Lkp_AnswerStatus_Good,Rng_Lkp_AnswerStatus_Bad)),Rng_Lkp_AnswerStatus_Bad)</f>
        <v>Correct</v>
      </c>
      <c r="AC17" s="54" t="s">
        <v>221</v>
      </c>
    </row>
    <row r="18" spans="2:29" x14ac:dyDescent="0.25">
      <c r="B18" s="14">
        <v>3334</v>
      </c>
      <c r="C18" s="14" t="s">
        <v>17</v>
      </c>
      <c r="D18" s="15" t="s">
        <v>51</v>
      </c>
      <c r="E18" s="15">
        <v>41121</v>
      </c>
      <c r="F18" s="89" t="str">
        <f>TEXT(Tbl_B5_Help_ANS[[#This Row],[Member Start Date]],"DDD")</f>
        <v>Tue</v>
      </c>
      <c r="G18" s="27" t="str">
        <f>IFERROR(IF(Tbl_B5_Help_ANS[[#This Row],[Start Weekday ("DDD")]]="","",IF(AND(_xlfn.ISFORMULA(Tbl_B5_Help_ANS[[#This Row],[Start Weekday ("DDD")]]),EXACT(Tbl_B5_Help_ANS[[#This Row],[Start Weekday ("DDD")]],Tbl_B5_Help_ANS[[#This Row],[Start Weekday ("DDD") ANS]])),Rng_Lkp_AnswerStatus_Good,Rng_Lkp_AnswerStatus_Bad)),Rng_Lkp_AnswerStatus_Bad)</f>
        <v>Correct</v>
      </c>
      <c r="H18" s="41" t="s">
        <v>157</v>
      </c>
      <c r="I18" s="89" t="str">
        <f>TEXT(Tbl_B5_Help_ANS[[#This Row],[Member Start Date]],"MMM")</f>
        <v>Jul</v>
      </c>
      <c r="J18" s="27" t="str">
        <f>IFERROR(IF(Tbl_B5_Help_ANS[[#This Row],[Start Month ("MMM")]]="","",IF(AND(_xlfn.ISFORMULA(Tbl_B5_Help_ANS[[#This Row],[Start Month ("MMM")]]),EXACT(Tbl_B5_Help_ANS[[#This Row],[Start Month ("MMM")]],Tbl_B5_Help_ANS[[#This Row],[Start Month ("MMM") ANS]])),Rng_Lkp_AnswerStatus_Good,Rng_Lkp_AnswerStatus_Bad)),Rng_Lkp_AnswerStatus_Bad)</f>
        <v>Correct</v>
      </c>
      <c r="K18" s="41" t="s">
        <v>168</v>
      </c>
      <c r="L18" s="89" t="str">
        <f>TEXT(Tbl_B5_Help_ANS[[#This Row],[Member Start Date]],"D")</f>
        <v>31</v>
      </c>
      <c r="M18" s="27" t="str">
        <f>IFERROR(IF(Tbl_B5_Help_ANS[[#This Row],[Start Day ("D")]]="","",IF(AND(_xlfn.ISFORMULA(Tbl_B5_Help_ANS[[#This Row],[Start Day ("D")]]),EXACT(Tbl_B5_Help_ANS[[#This Row],[Start Day ("D")]],Tbl_B5_Help_ANS[[#This Row],[Start Day ("D") ANS]])),Rng_Lkp_AnswerStatus_Good,Rng_Lkp_AnswerStatus_Bad)),Rng_Lkp_AnswerStatus_Bad)</f>
        <v>Correct</v>
      </c>
      <c r="N18" s="41" t="s">
        <v>181</v>
      </c>
      <c r="O18" s="89" t="str">
        <f>TEXT(Tbl_B5_Help_ANS[[#This Row],[Member Start Date]],"YYYY")</f>
        <v>2012</v>
      </c>
      <c r="P18" s="27" t="str">
        <f>IFERROR(IF(Tbl_B5_Help_ANS[[#This Row],[Start Year ("YYYY")]]="","",IF(AND(_xlfn.ISFORMULA(Tbl_B5_Help_ANS[[#This Row],[Start Year ("YYYY")]]),EXACT(Tbl_B5_Help_ANS[[#This Row],[Start Year ("YYYY")]],Tbl_B5_Help_ANS[[#This Row],[Start Year ("YYYY") ANS]])),Rng_Lkp_AnswerStatus_Good,Rng_Lkp_AnswerStatus_Bad)),Rng_Lkp_AnswerStatus_Bad)</f>
        <v>Correct</v>
      </c>
      <c r="Q18" s="41" t="s">
        <v>190</v>
      </c>
      <c r="R18" s="89" t="str">
        <f>_xlfn.CONCAT(Tbl_B5_Help_ANS[[#This Row],[Start Weekday ("DDD")]],", ",Tbl_B5_Help_ANS[[#This Row],[Start Month ("MMM")]]," ",Tbl_B5_Help_ANS[[#This Row],[Start Day ("D")]],", ",Tbl_B5_Help_ANS[[#This Row],[Start Year ("YYYY")]])</f>
        <v>Tue, Jul 31, 2012</v>
      </c>
      <c r="S18" s="48" t="str">
        <f>IFERROR(IF(Tbl_B5_Help_ANS[[#This Row],[Full Date ("DDD, MMM D, YYYY")]]="","",IF(AND(_xlfn.ISFORMULA(Tbl_B5_Help_ANS[[#This Row],[Full Date ("DDD, MMM D, YYYY")]]),EXACT(Tbl_B5_Help_ANS[[#This Row],[Full Date ("DDD, MMM D, YYYY")]],Tbl_B5_Help_ANS[[#This Row],[Full Date ("DDD, MMM D, YYYY") ANS]])),Rng_Lkp_AnswerStatus_Good,Rng_Lkp_AnswerStatus_Bad)),Rng_Lkp_AnswerStatus_Bad)</f>
        <v>Correct</v>
      </c>
      <c r="T18" s="41" t="s">
        <v>207</v>
      </c>
      <c r="U18" s="52" t="b">
        <f>AND(Tbl_B5_Help_ANS[[#This Row],[State]]="NY",Tbl_B5_Help_ANS[[#This Row],[Start Year ("YYYY") ANS]]="2019")</f>
        <v>0</v>
      </c>
      <c r="V18" s="48" t="str">
        <f>IFERROR(IF(Tbl_B5_Help_ANS[[#This Row],[State is "NY" AND Start Year is "2019" (TRUE/FALSE)]]="","",IF(AND(_xlfn.ISFORMULA(Tbl_B5_Help_ANS[[#This Row],[State is "NY" AND Start Year is "2019" (TRUE/FALSE)]]),EXACT(Tbl_B5_Help_ANS[[#This Row],[State is "NY" AND Start Year is "2019" (TRUE/FALSE)]],Tbl_B5_Help_ANS[[#This Row],[State is "NY" AND Start Year is "2019" (TRUE/FALSE) ANS]])),Rng_Lkp_AnswerStatus_Good,Rng_Lkp_AnswerStatus_Bad)),Rng_Lkp_AnswerStatus_Bad)</f>
        <v>Correct</v>
      </c>
      <c r="W18" s="54" t="b">
        <v>0</v>
      </c>
      <c r="X18" s="52" t="b">
        <f>OR(Tbl_B5_Help_ANS[[#This Row],[State]]="NY",Tbl_B5_Help_ANS[[#This Row],[Start Year ("YYYY")]]="2019")</f>
        <v>0</v>
      </c>
      <c r="Y18" s="48" t="str">
        <f>IFERROR(IF(Tbl_B5_Help_ANS[[#This Row],[State is "NY" OR Start Year is "2019" (TRUE/FALSE)]]="","",IF(AND(_xlfn.ISFORMULA(Tbl_B5_Help_ANS[[#This Row],[State is "NY" OR Start Year is "2019" (TRUE/FALSE)]]),EXACT(Tbl_B5_Help_ANS[[#This Row],[State is "NY" OR Start Year is "2019" (TRUE/FALSE)]],Tbl_B5_Help_ANS[[#This Row],[State is "NY" OR Start Year is "2019" (TRUE/FALSE) ANS]])),Rng_Lkp_AnswerStatus_Good,Rng_Lkp_AnswerStatus_Bad)),Rng_Lkp_AnswerStatus_Bad)</f>
        <v>Correct</v>
      </c>
      <c r="Z18" s="54" t="b">
        <v>0</v>
      </c>
      <c r="AA18" s="52" t="str">
        <f>IF(OR(Tbl_B5_Help_ANS[[#This Row],[State]]="NJ",Tbl_B5_Help_ANS[[#This Row],[Start Year ("YYYY") ANS]]="2012"),"Approve","Deny")</f>
        <v>Approve</v>
      </c>
      <c r="AB18" s="48" t="str">
        <f>IFERROR(IF(Tbl_B5_Help_ANS[[#This Row],[If State is "NJ" OR Start Year is "2012" then "Approve", otherwise "Deny"]]="","",IF(AND(_xlfn.ISFORMULA(Tbl_B5_Help_ANS[[#This Row],[If State is "NJ" OR Start Year is "2012" then "Approve", otherwise "Deny"]]),EXACT(Tbl_B5_Help_ANS[[#This Row],[If State is "NJ" OR Start Year is "2012" then "Approve", otherwise "Deny"]],Tbl_B5_Help_ANS[[#This Row],[If State is "NJ" OR Start Year is "2012" then "Approve", otherwise "Deny" ANS]])),Rng_Lkp_AnswerStatus_Good,Rng_Lkp_AnswerStatus_Bad)),Rng_Lkp_AnswerStatus_Bad)</f>
        <v>Correct</v>
      </c>
      <c r="AC18" s="54" t="s">
        <v>222</v>
      </c>
    </row>
    <row r="19" spans="2:29" x14ac:dyDescent="0.25">
      <c r="B19" s="14">
        <v>1084</v>
      </c>
      <c r="C19" s="14" t="s">
        <v>145</v>
      </c>
      <c r="D19" s="15" t="s">
        <v>56</v>
      </c>
      <c r="E19" s="15">
        <v>41638</v>
      </c>
      <c r="F19" s="89" t="str">
        <f>TEXT(Tbl_B5_Help_ANS[[#This Row],[Member Start Date]],"DDD")</f>
        <v>Mon</v>
      </c>
      <c r="G19" s="27" t="str">
        <f>IFERROR(IF(Tbl_B5_Help_ANS[[#This Row],[Start Weekday ("DDD")]]="","",IF(AND(_xlfn.ISFORMULA(Tbl_B5_Help_ANS[[#This Row],[Start Weekday ("DDD")]]),EXACT(Tbl_B5_Help_ANS[[#This Row],[Start Weekday ("DDD")]],Tbl_B5_Help_ANS[[#This Row],[Start Weekday ("DDD") ANS]])),Rng_Lkp_AnswerStatus_Good,Rng_Lkp_AnswerStatus_Bad)),Rng_Lkp_AnswerStatus_Bad)</f>
        <v>Correct</v>
      </c>
      <c r="H19" s="41" t="s">
        <v>158</v>
      </c>
      <c r="I19" s="89" t="str">
        <f>TEXT(Tbl_B5_Help_ANS[[#This Row],[Member Start Date]],"MMM")</f>
        <v>Dec</v>
      </c>
      <c r="J19" s="27" t="str">
        <f>IFERROR(IF(Tbl_B5_Help_ANS[[#This Row],[Start Month ("MMM")]]="","",IF(AND(_xlfn.ISFORMULA(Tbl_B5_Help_ANS[[#This Row],[Start Month ("MMM")]]),EXACT(Tbl_B5_Help_ANS[[#This Row],[Start Month ("MMM")]],Tbl_B5_Help_ANS[[#This Row],[Start Month ("MMM") ANS]])),Rng_Lkp_AnswerStatus_Good,Rng_Lkp_AnswerStatus_Bad)),Rng_Lkp_AnswerStatus_Bad)</f>
        <v>Correct</v>
      </c>
      <c r="K19" s="41" t="s">
        <v>165</v>
      </c>
      <c r="L19" s="89" t="str">
        <f>TEXT(Tbl_B5_Help_ANS[[#This Row],[Member Start Date]],"D")</f>
        <v>30</v>
      </c>
      <c r="M19" s="27" t="str">
        <f>IFERROR(IF(Tbl_B5_Help_ANS[[#This Row],[Start Day ("D")]]="","",IF(AND(_xlfn.ISFORMULA(Tbl_B5_Help_ANS[[#This Row],[Start Day ("D")]]),EXACT(Tbl_B5_Help_ANS[[#This Row],[Start Day ("D")]],Tbl_B5_Help_ANS[[#This Row],[Start Day ("D") ANS]])),Rng_Lkp_AnswerStatus_Good,Rng_Lkp_AnswerStatus_Bad)),Rng_Lkp_AnswerStatus_Bad)</f>
        <v>Correct</v>
      </c>
      <c r="N19" s="41" t="s">
        <v>182</v>
      </c>
      <c r="O19" s="89" t="str">
        <f>TEXT(Tbl_B5_Help_ANS[[#This Row],[Member Start Date]],"YYYY")</f>
        <v>2013</v>
      </c>
      <c r="P19" s="27" t="str">
        <f>IFERROR(IF(Tbl_B5_Help_ANS[[#This Row],[Start Year ("YYYY")]]="","",IF(AND(_xlfn.ISFORMULA(Tbl_B5_Help_ANS[[#This Row],[Start Year ("YYYY")]]),EXACT(Tbl_B5_Help_ANS[[#This Row],[Start Year ("YYYY")]],Tbl_B5_Help_ANS[[#This Row],[Start Year ("YYYY") ANS]])),Rng_Lkp_AnswerStatus_Good,Rng_Lkp_AnswerStatus_Bad)),Rng_Lkp_AnswerStatus_Bad)</f>
        <v>Correct</v>
      </c>
      <c r="Q19" s="41" t="s">
        <v>194</v>
      </c>
      <c r="R19" s="89" t="str">
        <f>_xlfn.CONCAT(Tbl_B5_Help_ANS[[#This Row],[Start Weekday ("DDD")]],", ",Tbl_B5_Help_ANS[[#This Row],[Start Month ("MMM")]]," ",Tbl_B5_Help_ANS[[#This Row],[Start Day ("D")]],", ",Tbl_B5_Help_ANS[[#This Row],[Start Year ("YYYY")]])</f>
        <v>Mon, Dec 30, 2013</v>
      </c>
      <c r="S19" s="48" t="str">
        <f>IFERROR(IF(Tbl_B5_Help_ANS[[#This Row],[Full Date ("DDD, MMM D, YYYY")]]="","",IF(AND(_xlfn.ISFORMULA(Tbl_B5_Help_ANS[[#This Row],[Full Date ("DDD, MMM D, YYYY")]]),EXACT(Tbl_B5_Help_ANS[[#This Row],[Full Date ("DDD, MMM D, YYYY")]],Tbl_B5_Help_ANS[[#This Row],[Full Date ("DDD, MMM D, YYYY") ANS]])),Rng_Lkp_AnswerStatus_Good,Rng_Lkp_AnswerStatus_Bad)),Rng_Lkp_AnswerStatus_Bad)</f>
        <v>Correct</v>
      </c>
      <c r="T19" s="41" t="s">
        <v>208</v>
      </c>
      <c r="U19" s="52" t="b">
        <f>AND(Tbl_B5_Help_ANS[[#This Row],[State]]="NY",Tbl_B5_Help_ANS[[#This Row],[Start Year ("YYYY") ANS]]="2019")</f>
        <v>0</v>
      </c>
      <c r="V19" s="48" t="str">
        <f>IFERROR(IF(Tbl_B5_Help_ANS[[#This Row],[State is "NY" AND Start Year is "2019" (TRUE/FALSE)]]="","",IF(AND(_xlfn.ISFORMULA(Tbl_B5_Help_ANS[[#This Row],[State is "NY" AND Start Year is "2019" (TRUE/FALSE)]]),EXACT(Tbl_B5_Help_ANS[[#This Row],[State is "NY" AND Start Year is "2019" (TRUE/FALSE)]],Tbl_B5_Help_ANS[[#This Row],[State is "NY" AND Start Year is "2019" (TRUE/FALSE) ANS]])),Rng_Lkp_AnswerStatus_Good,Rng_Lkp_AnswerStatus_Bad)),Rng_Lkp_AnswerStatus_Bad)</f>
        <v>Correct</v>
      </c>
      <c r="W19" s="54" t="b">
        <v>0</v>
      </c>
      <c r="X19" s="52" t="b">
        <f>OR(Tbl_B5_Help_ANS[[#This Row],[State]]="NY",Tbl_B5_Help_ANS[[#This Row],[Start Year ("YYYY")]]="2019")</f>
        <v>0</v>
      </c>
      <c r="Y19" s="48" t="str">
        <f>IFERROR(IF(Tbl_B5_Help_ANS[[#This Row],[State is "NY" OR Start Year is "2019" (TRUE/FALSE)]]="","",IF(AND(_xlfn.ISFORMULA(Tbl_B5_Help_ANS[[#This Row],[State is "NY" OR Start Year is "2019" (TRUE/FALSE)]]),EXACT(Tbl_B5_Help_ANS[[#This Row],[State is "NY" OR Start Year is "2019" (TRUE/FALSE)]],Tbl_B5_Help_ANS[[#This Row],[State is "NY" OR Start Year is "2019" (TRUE/FALSE) ANS]])),Rng_Lkp_AnswerStatus_Good,Rng_Lkp_AnswerStatus_Bad)),Rng_Lkp_AnswerStatus_Bad)</f>
        <v>Correct</v>
      </c>
      <c r="Z19" s="54" t="b">
        <v>0</v>
      </c>
      <c r="AA19" s="52" t="str">
        <f>IF(OR(Tbl_B5_Help_ANS[[#This Row],[State]]="NJ",Tbl_B5_Help_ANS[[#This Row],[Start Year ("YYYY") ANS]]="2012"),"Approve","Deny")</f>
        <v>Deny</v>
      </c>
      <c r="AB19" s="48" t="str">
        <f>IFERROR(IF(Tbl_B5_Help_ANS[[#This Row],[If State is "NJ" OR Start Year is "2012" then "Approve", otherwise "Deny"]]="","",IF(AND(_xlfn.ISFORMULA(Tbl_B5_Help_ANS[[#This Row],[If State is "NJ" OR Start Year is "2012" then "Approve", otherwise "Deny"]]),EXACT(Tbl_B5_Help_ANS[[#This Row],[If State is "NJ" OR Start Year is "2012" then "Approve", otherwise "Deny"]],Tbl_B5_Help_ANS[[#This Row],[If State is "NJ" OR Start Year is "2012" then "Approve", otherwise "Deny" ANS]])),Rng_Lkp_AnswerStatus_Good,Rng_Lkp_AnswerStatus_Bad)),Rng_Lkp_AnswerStatus_Bad)</f>
        <v>Correct</v>
      </c>
      <c r="AC19" s="54" t="s">
        <v>221</v>
      </c>
    </row>
    <row r="20" spans="2:29" x14ac:dyDescent="0.25">
      <c r="B20" s="14">
        <v>2458</v>
      </c>
      <c r="C20" s="14" t="s">
        <v>18</v>
      </c>
      <c r="D20" s="15" t="s">
        <v>51</v>
      </c>
      <c r="E20" s="15">
        <v>41176</v>
      </c>
      <c r="F20" s="89" t="str">
        <f>TEXT(Tbl_B5_Help_ANS[[#This Row],[Member Start Date]],"DDD")</f>
        <v>Mon</v>
      </c>
      <c r="G20" s="27" t="str">
        <f>IFERROR(IF(Tbl_B5_Help_ANS[[#This Row],[Start Weekday ("DDD")]]="","",IF(AND(_xlfn.ISFORMULA(Tbl_B5_Help_ANS[[#This Row],[Start Weekday ("DDD")]]),EXACT(Tbl_B5_Help_ANS[[#This Row],[Start Weekday ("DDD")]],Tbl_B5_Help_ANS[[#This Row],[Start Weekday ("DDD") ANS]])),Rng_Lkp_AnswerStatus_Good,Rng_Lkp_AnswerStatus_Bad)),Rng_Lkp_AnswerStatus_Bad)</f>
        <v>Correct</v>
      </c>
      <c r="H20" s="41" t="s">
        <v>158</v>
      </c>
      <c r="I20" s="89" t="str">
        <f>TEXT(Tbl_B5_Help_ANS[[#This Row],[Member Start Date]],"MMM")</f>
        <v>Sep</v>
      </c>
      <c r="J20" s="27" t="str">
        <f>IFERROR(IF(Tbl_B5_Help_ANS[[#This Row],[Start Month ("MMM")]]="","",IF(AND(_xlfn.ISFORMULA(Tbl_B5_Help_ANS[[#This Row],[Start Month ("MMM")]]),EXACT(Tbl_B5_Help_ANS[[#This Row],[Start Month ("MMM")]],Tbl_B5_Help_ANS[[#This Row],[Start Month ("MMM") ANS]])),Rng_Lkp_AnswerStatus_Good,Rng_Lkp_AnswerStatus_Bad)),Rng_Lkp_AnswerStatus_Bad)</f>
        <v>Correct</v>
      </c>
      <c r="K20" s="41" t="s">
        <v>169</v>
      </c>
      <c r="L20" s="89" t="str">
        <f>TEXT(Tbl_B5_Help_ANS[[#This Row],[Member Start Date]],"D")</f>
        <v>24</v>
      </c>
      <c r="M20" s="27" t="str">
        <f>IFERROR(IF(Tbl_B5_Help_ANS[[#This Row],[Start Day ("D")]]="","",IF(AND(_xlfn.ISFORMULA(Tbl_B5_Help_ANS[[#This Row],[Start Day ("D")]]),EXACT(Tbl_B5_Help_ANS[[#This Row],[Start Day ("D")]],Tbl_B5_Help_ANS[[#This Row],[Start Day ("D") ANS]])),Rng_Lkp_AnswerStatus_Good,Rng_Lkp_AnswerStatus_Bad)),Rng_Lkp_AnswerStatus_Bad)</f>
        <v>Correct</v>
      </c>
      <c r="N20" s="41" t="s">
        <v>183</v>
      </c>
      <c r="O20" s="89" t="str">
        <f>TEXT(Tbl_B5_Help_ANS[[#This Row],[Member Start Date]],"YYYY")</f>
        <v>2012</v>
      </c>
      <c r="P20" s="27" t="str">
        <f>IFERROR(IF(Tbl_B5_Help_ANS[[#This Row],[Start Year ("YYYY")]]="","",IF(AND(_xlfn.ISFORMULA(Tbl_B5_Help_ANS[[#This Row],[Start Year ("YYYY")]]),EXACT(Tbl_B5_Help_ANS[[#This Row],[Start Year ("YYYY")]],Tbl_B5_Help_ANS[[#This Row],[Start Year ("YYYY") ANS]])),Rng_Lkp_AnswerStatus_Good,Rng_Lkp_AnswerStatus_Bad)),Rng_Lkp_AnswerStatus_Bad)</f>
        <v>Correct</v>
      </c>
      <c r="Q20" s="41" t="s">
        <v>190</v>
      </c>
      <c r="R20" s="89" t="str">
        <f>_xlfn.CONCAT(Tbl_B5_Help_ANS[[#This Row],[Start Weekday ("DDD")]],", ",Tbl_B5_Help_ANS[[#This Row],[Start Month ("MMM")]]," ",Tbl_B5_Help_ANS[[#This Row],[Start Day ("D")]],", ",Tbl_B5_Help_ANS[[#This Row],[Start Year ("YYYY")]])</f>
        <v>Mon, Sep 24, 2012</v>
      </c>
      <c r="S20" s="48" t="str">
        <f>IFERROR(IF(Tbl_B5_Help_ANS[[#This Row],[Full Date ("DDD, MMM D, YYYY")]]="","",IF(AND(_xlfn.ISFORMULA(Tbl_B5_Help_ANS[[#This Row],[Full Date ("DDD, MMM D, YYYY")]]),EXACT(Tbl_B5_Help_ANS[[#This Row],[Full Date ("DDD, MMM D, YYYY")]],Tbl_B5_Help_ANS[[#This Row],[Full Date ("DDD, MMM D, YYYY") ANS]])),Rng_Lkp_AnswerStatus_Good,Rng_Lkp_AnswerStatus_Bad)),Rng_Lkp_AnswerStatus_Bad)</f>
        <v>Correct</v>
      </c>
      <c r="T20" s="41" t="s">
        <v>209</v>
      </c>
      <c r="U20" s="52" t="b">
        <f>AND(Tbl_B5_Help_ANS[[#This Row],[State]]="NY",Tbl_B5_Help_ANS[[#This Row],[Start Year ("YYYY") ANS]]="2019")</f>
        <v>0</v>
      </c>
      <c r="V20" s="48" t="str">
        <f>IFERROR(IF(Tbl_B5_Help_ANS[[#This Row],[State is "NY" AND Start Year is "2019" (TRUE/FALSE)]]="","",IF(AND(_xlfn.ISFORMULA(Tbl_B5_Help_ANS[[#This Row],[State is "NY" AND Start Year is "2019" (TRUE/FALSE)]]),EXACT(Tbl_B5_Help_ANS[[#This Row],[State is "NY" AND Start Year is "2019" (TRUE/FALSE)]],Tbl_B5_Help_ANS[[#This Row],[State is "NY" AND Start Year is "2019" (TRUE/FALSE) ANS]])),Rng_Lkp_AnswerStatus_Good,Rng_Lkp_AnswerStatus_Bad)),Rng_Lkp_AnswerStatus_Bad)</f>
        <v>Correct</v>
      </c>
      <c r="W20" s="54" t="b">
        <v>0</v>
      </c>
      <c r="X20" s="52" t="b">
        <f>OR(Tbl_B5_Help_ANS[[#This Row],[State]]="NY",Tbl_B5_Help_ANS[[#This Row],[Start Year ("YYYY")]]="2019")</f>
        <v>0</v>
      </c>
      <c r="Y20" s="48" t="str">
        <f>IFERROR(IF(Tbl_B5_Help_ANS[[#This Row],[State is "NY" OR Start Year is "2019" (TRUE/FALSE)]]="","",IF(AND(_xlfn.ISFORMULA(Tbl_B5_Help_ANS[[#This Row],[State is "NY" OR Start Year is "2019" (TRUE/FALSE)]]),EXACT(Tbl_B5_Help_ANS[[#This Row],[State is "NY" OR Start Year is "2019" (TRUE/FALSE)]],Tbl_B5_Help_ANS[[#This Row],[State is "NY" OR Start Year is "2019" (TRUE/FALSE) ANS]])),Rng_Lkp_AnswerStatus_Good,Rng_Lkp_AnswerStatus_Bad)),Rng_Lkp_AnswerStatus_Bad)</f>
        <v>Correct</v>
      </c>
      <c r="Z20" s="54" t="b">
        <v>0</v>
      </c>
      <c r="AA20" s="52" t="str">
        <f>IF(OR(Tbl_B5_Help_ANS[[#This Row],[State]]="NJ",Tbl_B5_Help_ANS[[#This Row],[Start Year ("YYYY") ANS]]="2012"),"Approve","Deny")</f>
        <v>Approve</v>
      </c>
      <c r="AB20" s="48" t="str">
        <f>IFERROR(IF(Tbl_B5_Help_ANS[[#This Row],[If State is "NJ" OR Start Year is "2012" then "Approve", otherwise "Deny"]]="","",IF(AND(_xlfn.ISFORMULA(Tbl_B5_Help_ANS[[#This Row],[If State is "NJ" OR Start Year is "2012" then "Approve", otherwise "Deny"]]),EXACT(Tbl_B5_Help_ANS[[#This Row],[If State is "NJ" OR Start Year is "2012" then "Approve", otherwise "Deny"]],Tbl_B5_Help_ANS[[#This Row],[If State is "NJ" OR Start Year is "2012" then "Approve", otherwise "Deny" ANS]])),Rng_Lkp_AnswerStatus_Good,Rng_Lkp_AnswerStatus_Bad)),Rng_Lkp_AnswerStatus_Bad)</f>
        <v>Correct</v>
      </c>
      <c r="AC20" s="54" t="s">
        <v>222</v>
      </c>
    </row>
    <row r="21" spans="2:29" x14ac:dyDescent="0.25">
      <c r="B21" s="14">
        <v>1495</v>
      </c>
      <c r="C21" s="14" t="s">
        <v>146</v>
      </c>
      <c r="D21" s="15" t="s">
        <v>49</v>
      </c>
      <c r="E21" s="15">
        <v>43466</v>
      </c>
      <c r="F21" s="89" t="str">
        <f>TEXT(Tbl_B5_Help_ANS[[#This Row],[Member Start Date]],"DDD")</f>
        <v>Tue</v>
      </c>
      <c r="G21" s="27" t="str">
        <f>IFERROR(IF(Tbl_B5_Help_ANS[[#This Row],[Start Weekday ("DDD")]]="","",IF(AND(_xlfn.ISFORMULA(Tbl_B5_Help_ANS[[#This Row],[Start Weekday ("DDD")]]),EXACT(Tbl_B5_Help_ANS[[#This Row],[Start Weekday ("DDD")]],Tbl_B5_Help_ANS[[#This Row],[Start Weekday ("DDD") ANS]])),Rng_Lkp_AnswerStatus_Good,Rng_Lkp_AnswerStatus_Bad)),Rng_Lkp_AnswerStatus_Bad)</f>
        <v>Correct</v>
      </c>
      <c r="H21" s="41" t="s">
        <v>157</v>
      </c>
      <c r="I21" s="89" t="str">
        <f>TEXT(Tbl_B5_Help_ANS[[#This Row],[Member Start Date]],"MMM")</f>
        <v>Jan</v>
      </c>
      <c r="J21" s="27" t="str">
        <f>IFERROR(IF(Tbl_B5_Help_ANS[[#This Row],[Start Month ("MMM")]]="","",IF(AND(_xlfn.ISFORMULA(Tbl_B5_Help_ANS[[#This Row],[Start Month ("MMM")]]),EXACT(Tbl_B5_Help_ANS[[#This Row],[Start Month ("MMM")]],Tbl_B5_Help_ANS[[#This Row],[Start Month ("MMM") ANS]])),Rng_Lkp_AnswerStatus_Good,Rng_Lkp_AnswerStatus_Bad)),Rng_Lkp_AnswerStatus_Bad)</f>
        <v>Correct</v>
      </c>
      <c r="K21" s="41" t="s">
        <v>163</v>
      </c>
      <c r="L21" s="89" t="str">
        <f>TEXT(Tbl_B5_Help_ANS[[#This Row],[Member Start Date]],"D")</f>
        <v>1</v>
      </c>
      <c r="M21" s="27" t="str">
        <f>IFERROR(IF(Tbl_B5_Help_ANS[[#This Row],[Start Day ("D")]]="","",IF(AND(_xlfn.ISFORMULA(Tbl_B5_Help_ANS[[#This Row],[Start Day ("D")]]),EXACT(Tbl_B5_Help_ANS[[#This Row],[Start Day ("D")]],Tbl_B5_Help_ANS[[#This Row],[Start Day ("D") ANS]])),Rng_Lkp_AnswerStatus_Good,Rng_Lkp_AnswerStatus_Bad)),Rng_Lkp_AnswerStatus_Bad)</f>
        <v>Correct</v>
      </c>
      <c r="N21" s="41" t="s">
        <v>174</v>
      </c>
      <c r="O21" s="89" t="str">
        <f>TEXT(Tbl_B5_Help_ANS[[#This Row],[Member Start Date]],"YYYY")</f>
        <v>2019</v>
      </c>
      <c r="P21" s="27" t="str">
        <f>IFERROR(IF(Tbl_B5_Help_ANS[[#This Row],[Start Year ("YYYY")]]="","",IF(AND(_xlfn.ISFORMULA(Tbl_B5_Help_ANS[[#This Row],[Start Year ("YYYY")]]),EXACT(Tbl_B5_Help_ANS[[#This Row],[Start Year ("YYYY")]],Tbl_B5_Help_ANS[[#This Row],[Start Year ("YYYY") ANS]])),Rng_Lkp_AnswerStatus_Good,Rng_Lkp_AnswerStatus_Bad)),Rng_Lkp_AnswerStatus_Bad)</f>
        <v>Correct</v>
      </c>
      <c r="Q21" s="41" t="s">
        <v>189</v>
      </c>
      <c r="R21" s="89" t="str">
        <f>_xlfn.CONCAT(Tbl_B5_Help_ANS[[#This Row],[Start Weekday ("DDD")]],", ",Tbl_B5_Help_ANS[[#This Row],[Start Month ("MMM")]]," ",Tbl_B5_Help_ANS[[#This Row],[Start Day ("D")]],", ",Tbl_B5_Help_ANS[[#This Row],[Start Year ("YYYY")]])</f>
        <v>Tue, Jan 1, 2019</v>
      </c>
      <c r="S21" s="48" t="str">
        <f>IFERROR(IF(Tbl_B5_Help_ANS[[#This Row],[Full Date ("DDD, MMM D, YYYY")]]="","",IF(AND(_xlfn.ISFORMULA(Tbl_B5_Help_ANS[[#This Row],[Full Date ("DDD, MMM D, YYYY")]]),EXACT(Tbl_B5_Help_ANS[[#This Row],[Full Date ("DDD, MMM D, YYYY")]],Tbl_B5_Help_ANS[[#This Row],[Full Date ("DDD, MMM D, YYYY") ANS]])),Rng_Lkp_AnswerStatus_Good,Rng_Lkp_AnswerStatus_Bad)),Rng_Lkp_AnswerStatus_Bad)</f>
        <v>Correct</v>
      </c>
      <c r="T21" s="41" t="s">
        <v>199</v>
      </c>
      <c r="U21" s="52" t="b">
        <f>AND(Tbl_B5_Help_ANS[[#This Row],[State]]="NY",Tbl_B5_Help_ANS[[#This Row],[Start Year ("YYYY") ANS]]="2019")</f>
        <v>1</v>
      </c>
      <c r="V21" s="48" t="str">
        <f>IFERROR(IF(Tbl_B5_Help_ANS[[#This Row],[State is "NY" AND Start Year is "2019" (TRUE/FALSE)]]="","",IF(AND(_xlfn.ISFORMULA(Tbl_B5_Help_ANS[[#This Row],[State is "NY" AND Start Year is "2019" (TRUE/FALSE)]]),EXACT(Tbl_B5_Help_ANS[[#This Row],[State is "NY" AND Start Year is "2019" (TRUE/FALSE)]],Tbl_B5_Help_ANS[[#This Row],[State is "NY" AND Start Year is "2019" (TRUE/FALSE) ANS]])),Rng_Lkp_AnswerStatus_Good,Rng_Lkp_AnswerStatus_Bad)),Rng_Lkp_AnswerStatus_Bad)</f>
        <v>Correct</v>
      </c>
      <c r="W21" s="54" t="b">
        <v>1</v>
      </c>
      <c r="X21" s="52" t="b">
        <f>OR(Tbl_B5_Help_ANS[[#This Row],[State]]="NY",Tbl_B5_Help_ANS[[#This Row],[Start Year ("YYYY")]]="2019")</f>
        <v>1</v>
      </c>
      <c r="Y21" s="48" t="str">
        <f>IFERROR(IF(Tbl_B5_Help_ANS[[#This Row],[State is "NY" OR Start Year is "2019" (TRUE/FALSE)]]="","",IF(AND(_xlfn.ISFORMULA(Tbl_B5_Help_ANS[[#This Row],[State is "NY" OR Start Year is "2019" (TRUE/FALSE)]]),EXACT(Tbl_B5_Help_ANS[[#This Row],[State is "NY" OR Start Year is "2019" (TRUE/FALSE)]],Tbl_B5_Help_ANS[[#This Row],[State is "NY" OR Start Year is "2019" (TRUE/FALSE) ANS]])),Rng_Lkp_AnswerStatus_Good,Rng_Lkp_AnswerStatus_Bad)),Rng_Lkp_AnswerStatus_Bad)</f>
        <v>Correct</v>
      </c>
      <c r="Z21" s="54" t="b">
        <v>1</v>
      </c>
      <c r="AA21" s="52" t="str">
        <f>IF(OR(Tbl_B5_Help_ANS[[#This Row],[State]]="NJ",Tbl_B5_Help_ANS[[#This Row],[Start Year ("YYYY") ANS]]="2012"),"Approve","Deny")</f>
        <v>Deny</v>
      </c>
      <c r="AB21" s="48" t="str">
        <f>IFERROR(IF(Tbl_B5_Help_ANS[[#This Row],[If State is "NJ" OR Start Year is "2012" then "Approve", otherwise "Deny"]]="","",IF(AND(_xlfn.ISFORMULA(Tbl_B5_Help_ANS[[#This Row],[If State is "NJ" OR Start Year is "2012" then "Approve", otherwise "Deny"]]),EXACT(Tbl_B5_Help_ANS[[#This Row],[If State is "NJ" OR Start Year is "2012" then "Approve", otherwise "Deny"]],Tbl_B5_Help_ANS[[#This Row],[If State is "NJ" OR Start Year is "2012" then "Approve", otherwise "Deny" ANS]])),Rng_Lkp_AnswerStatus_Good,Rng_Lkp_AnswerStatus_Bad)),Rng_Lkp_AnswerStatus_Bad)</f>
        <v>Correct</v>
      </c>
      <c r="AC21" s="54" t="s">
        <v>221</v>
      </c>
    </row>
    <row r="22" spans="2:29" x14ac:dyDescent="0.25">
      <c r="B22" s="14">
        <v>1131</v>
      </c>
      <c r="C22" s="14" t="s">
        <v>19</v>
      </c>
      <c r="D22" s="15" t="s">
        <v>51</v>
      </c>
      <c r="E22" s="15">
        <v>41120</v>
      </c>
      <c r="F22" s="89" t="str">
        <f>TEXT(Tbl_B5_Help_ANS[[#This Row],[Member Start Date]],"DDD")</f>
        <v>Mon</v>
      </c>
      <c r="G22" s="27" t="str">
        <f>IFERROR(IF(Tbl_B5_Help_ANS[[#This Row],[Start Weekday ("DDD")]]="","",IF(AND(_xlfn.ISFORMULA(Tbl_B5_Help_ANS[[#This Row],[Start Weekday ("DDD")]]),EXACT(Tbl_B5_Help_ANS[[#This Row],[Start Weekday ("DDD")]],Tbl_B5_Help_ANS[[#This Row],[Start Weekday ("DDD") ANS]])),Rng_Lkp_AnswerStatus_Good,Rng_Lkp_AnswerStatus_Bad)),Rng_Lkp_AnswerStatus_Bad)</f>
        <v>Correct</v>
      </c>
      <c r="H22" s="41" t="s">
        <v>158</v>
      </c>
      <c r="I22" s="89" t="str">
        <f>TEXT(Tbl_B5_Help_ANS[[#This Row],[Member Start Date]],"MMM")</f>
        <v>Jul</v>
      </c>
      <c r="J22" s="27" t="str">
        <f>IFERROR(IF(Tbl_B5_Help_ANS[[#This Row],[Start Month ("MMM")]]="","",IF(AND(_xlfn.ISFORMULA(Tbl_B5_Help_ANS[[#This Row],[Start Month ("MMM")]]),EXACT(Tbl_B5_Help_ANS[[#This Row],[Start Month ("MMM")]],Tbl_B5_Help_ANS[[#This Row],[Start Month ("MMM") ANS]])),Rng_Lkp_AnswerStatus_Good,Rng_Lkp_AnswerStatus_Bad)),Rng_Lkp_AnswerStatus_Bad)</f>
        <v>Correct</v>
      </c>
      <c r="K22" s="41" t="s">
        <v>168</v>
      </c>
      <c r="L22" s="89" t="str">
        <f>TEXT(Tbl_B5_Help_ANS[[#This Row],[Member Start Date]],"D")</f>
        <v>30</v>
      </c>
      <c r="M22" s="27" t="str">
        <f>IFERROR(IF(Tbl_B5_Help_ANS[[#This Row],[Start Day ("D")]]="","",IF(AND(_xlfn.ISFORMULA(Tbl_B5_Help_ANS[[#This Row],[Start Day ("D")]]),EXACT(Tbl_B5_Help_ANS[[#This Row],[Start Day ("D")]],Tbl_B5_Help_ANS[[#This Row],[Start Day ("D") ANS]])),Rng_Lkp_AnswerStatus_Good,Rng_Lkp_AnswerStatus_Bad)),Rng_Lkp_AnswerStatus_Bad)</f>
        <v>Correct</v>
      </c>
      <c r="N22" s="41" t="s">
        <v>182</v>
      </c>
      <c r="O22" s="89" t="str">
        <f>TEXT(Tbl_B5_Help_ANS[[#This Row],[Member Start Date]],"YYYY")</f>
        <v>2012</v>
      </c>
      <c r="P22" s="27" t="str">
        <f>IFERROR(IF(Tbl_B5_Help_ANS[[#This Row],[Start Year ("YYYY")]]="","",IF(AND(_xlfn.ISFORMULA(Tbl_B5_Help_ANS[[#This Row],[Start Year ("YYYY")]]),EXACT(Tbl_B5_Help_ANS[[#This Row],[Start Year ("YYYY")]],Tbl_B5_Help_ANS[[#This Row],[Start Year ("YYYY") ANS]])),Rng_Lkp_AnswerStatus_Good,Rng_Lkp_AnswerStatus_Bad)),Rng_Lkp_AnswerStatus_Bad)</f>
        <v>Correct</v>
      </c>
      <c r="Q22" s="41" t="s">
        <v>190</v>
      </c>
      <c r="R22" s="89" t="str">
        <f>_xlfn.CONCAT(Tbl_B5_Help_ANS[[#This Row],[Start Weekday ("DDD")]],", ",Tbl_B5_Help_ANS[[#This Row],[Start Month ("MMM")]]," ",Tbl_B5_Help_ANS[[#This Row],[Start Day ("D")]],", ",Tbl_B5_Help_ANS[[#This Row],[Start Year ("YYYY")]])</f>
        <v>Mon, Jul 30, 2012</v>
      </c>
      <c r="S22" s="48" t="str">
        <f>IFERROR(IF(Tbl_B5_Help_ANS[[#This Row],[Full Date ("DDD, MMM D, YYYY")]]="","",IF(AND(_xlfn.ISFORMULA(Tbl_B5_Help_ANS[[#This Row],[Full Date ("DDD, MMM D, YYYY")]]),EXACT(Tbl_B5_Help_ANS[[#This Row],[Full Date ("DDD, MMM D, YYYY")]],Tbl_B5_Help_ANS[[#This Row],[Full Date ("DDD, MMM D, YYYY") ANS]])),Rng_Lkp_AnswerStatus_Good,Rng_Lkp_AnswerStatus_Bad)),Rng_Lkp_AnswerStatus_Bad)</f>
        <v>Correct</v>
      </c>
      <c r="T22" s="41" t="s">
        <v>210</v>
      </c>
      <c r="U22" s="52" t="b">
        <f>AND(Tbl_B5_Help_ANS[[#This Row],[State]]="NY",Tbl_B5_Help_ANS[[#This Row],[Start Year ("YYYY") ANS]]="2019")</f>
        <v>0</v>
      </c>
      <c r="V22" s="48" t="str">
        <f>IFERROR(IF(Tbl_B5_Help_ANS[[#This Row],[State is "NY" AND Start Year is "2019" (TRUE/FALSE)]]="","",IF(AND(_xlfn.ISFORMULA(Tbl_B5_Help_ANS[[#This Row],[State is "NY" AND Start Year is "2019" (TRUE/FALSE)]]),EXACT(Tbl_B5_Help_ANS[[#This Row],[State is "NY" AND Start Year is "2019" (TRUE/FALSE)]],Tbl_B5_Help_ANS[[#This Row],[State is "NY" AND Start Year is "2019" (TRUE/FALSE) ANS]])),Rng_Lkp_AnswerStatus_Good,Rng_Lkp_AnswerStatus_Bad)),Rng_Lkp_AnswerStatus_Bad)</f>
        <v>Correct</v>
      </c>
      <c r="W22" s="54" t="b">
        <v>0</v>
      </c>
      <c r="X22" s="52" t="b">
        <f>OR(Tbl_B5_Help_ANS[[#This Row],[State]]="NY",Tbl_B5_Help_ANS[[#This Row],[Start Year ("YYYY")]]="2019")</f>
        <v>0</v>
      </c>
      <c r="Y22" s="48" t="str">
        <f>IFERROR(IF(Tbl_B5_Help_ANS[[#This Row],[State is "NY" OR Start Year is "2019" (TRUE/FALSE)]]="","",IF(AND(_xlfn.ISFORMULA(Tbl_B5_Help_ANS[[#This Row],[State is "NY" OR Start Year is "2019" (TRUE/FALSE)]]),EXACT(Tbl_B5_Help_ANS[[#This Row],[State is "NY" OR Start Year is "2019" (TRUE/FALSE)]],Tbl_B5_Help_ANS[[#This Row],[State is "NY" OR Start Year is "2019" (TRUE/FALSE) ANS]])),Rng_Lkp_AnswerStatus_Good,Rng_Lkp_AnswerStatus_Bad)),Rng_Lkp_AnswerStatus_Bad)</f>
        <v>Correct</v>
      </c>
      <c r="Z22" s="54" t="b">
        <v>0</v>
      </c>
      <c r="AA22" s="52" t="str">
        <f>IF(OR(Tbl_B5_Help_ANS[[#This Row],[State]]="NJ",Tbl_B5_Help_ANS[[#This Row],[Start Year ("YYYY") ANS]]="2012"),"Approve","Deny")</f>
        <v>Approve</v>
      </c>
      <c r="AB22" s="48" t="str">
        <f>IFERROR(IF(Tbl_B5_Help_ANS[[#This Row],[If State is "NJ" OR Start Year is "2012" then "Approve", otherwise "Deny"]]="","",IF(AND(_xlfn.ISFORMULA(Tbl_B5_Help_ANS[[#This Row],[If State is "NJ" OR Start Year is "2012" then "Approve", otherwise "Deny"]]),EXACT(Tbl_B5_Help_ANS[[#This Row],[If State is "NJ" OR Start Year is "2012" then "Approve", otherwise "Deny"]],Tbl_B5_Help_ANS[[#This Row],[If State is "NJ" OR Start Year is "2012" then "Approve", otherwise "Deny" ANS]])),Rng_Lkp_AnswerStatus_Good,Rng_Lkp_AnswerStatus_Bad)),Rng_Lkp_AnswerStatus_Bad)</f>
        <v>Correct</v>
      </c>
      <c r="AC22" s="54" t="s">
        <v>222</v>
      </c>
    </row>
    <row r="23" spans="2:29" x14ac:dyDescent="0.25">
      <c r="B23" s="14">
        <v>2314</v>
      </c>
      <c r="C23" s="14" t="s">
        <v>147</v>
      </c>
      <c r="D23" s="15" t="s">
        <v>51</v>
      </c>
      <c r="E23" s="15">
        <v>42054</v>
      </c>
      <c r="F23" s="89" t="str">
        <f>TEXT(Tbl_B5_Help_ANS[[#This Row],[Member Start Date]],"DDD")</f>
        <v>Thu</v>
      </c>
      <c r="G23" s="27" t="str">
        <f>IFERROR(IF(Tbl_B5_Help_ANS[[#This Row],[Start Weekday ("DDD")]]="","",IF(AND(_xlfn.ISFORMULA(Tbl_B5_Help_ANS[[#This Row],[Start Weekday ("DDD")]]),EXACT(Tbl_B5_Help_ANS[[#This Row],[Start Weekday ("DDD")]],Tbl_B5_Help_ANS[[#This Row],[Start Weekday ("DDD") ANS]])),Rng_Lkp_AnswerStatus_Good,Rng_Lkp_AnswerStatus_Bad)),Rng_Lkp_AnswerStatus_Bad)</f>
        <v>Correct</v>
      </c>
      <c r="H23" s="41" t="s">
        <v>161</v>
      </c>
      <c r="I23" s="89" t="str">
        <f>TEXT(Tbl_B5_Help_ANS[[#This Row],[Member Start Date]],"MMM")</f>
        <v>Feb</v>
      </c>
      <c r="J23" s="27" t="str">
        <f>IFERROR(IF(Tbl_B5_Help_ANS[[#This Row],[Start Month ("MMM")]]="","",IF(AND(_xlfn.ISFORMULA(Tbl_B5_Help_ANS[[#This Row],[Start Month ("MMM")]]),EXACT(Tbl_B5_Help_ANS[[#This Row],[Start Month ("MMM")]],Tbl_B5_Help_ANS[[#This Row],[Start Month ("MMM") ANS]])),Rng_Lkp_AnswerStatus_Good,Rng_Lkp_AnswerStatus_Bad)),Rng_Lkp_AnswerStatus_Bad)</f>
        <v>Correct</v>
      </c>
      <c r="K23" s="41" t="s">
        <v>170</v>
      </c>
      <c r="L23" s="89" t="str">
        <f>TEXT(Tbl_B5_Help_ANS[[#This Row],[Member Start Date]],"D")</f>
        <v>19</v>
      </c>
      <c r="M23" s="27" t="str">
        <f>IFERROR(IF(Tbl_B5_Help_ANS[[#This Row],[Start Day ("D")]]="","",IF(AND(_xlfn.ISFORMULA(Tbl_B5_Help_ANS[[#This Row],[Start Day ("D")]]),EXACT(Tbl_B5_Help_ANS[[#This Row],[Start Day ("D")]],Tbl_B5_Help_ANS[[#This Row],[Start Day ("D") ANS]])),Rng_Lkp_AnswerStatus_Good,Rng_Lkp_AnswerStatus_Bad)),Rng_Lkp_AnswerStatus_Bad)</f>
        <v>Correct</v>
      </c>
      <c r="N23" s="41" t="s">
        <v>184</v>
      </c>
      <c r="O23" s="89" t="str">
        <f>TEXT(Tbl_B5_Help_ANS[[#This Row],[Member Start Date]],"YYYY")</f>
        <v>2015</v>
      </c>
      <c r="P23" s="27" t="str">
        <f>IFERROR(IF(Tbl_B5_Help_ANS[[#This Row],[Start Year ("YYYY")]]="","",IF(AND(_xlfn.ISFORMULA(Tbl_B5_Help_ANS[[#This Row],[Start Year ("YYYY")]]),EXACT(Tbl_B5_Help_ANS[[#This Row],[Start Year ("YYYY")]],Tbl_B5_Help_ANS[[#This Row],[Start Year ("YYYY") ANS]])),Rng_Lkp_AnswerStatus_Good,Rng_Lkp_AnswerStatus_Bad)),Rng_Lkp_AnswerStatus_Bad)</f>
        <v>Correct</v>
      </c>
      <c r="Q23" s="41" t="s">
        <v>193</v>
      </c>
      <c r="R23" s="89" t="str">
        <f>_xlfn.CONCAT(Tbl_B5_Help_ANS[[#This Row],[Start Weekday ("DDD")]],", ",Tbl_B5_Help_ANS[[#This Row],[Start Month ("MMM")]]," ",Tbl_B5_Help_ANS[[#This Row],[Start Day ("D")]],", ",Tbl_B5_Help_ANS[[#This Row],[Start Year ("YYYY")]])</f>
        <v>Thu, Feb 19, 2015</v>
      </c>
      <c r="S23" s="48" t="str">
        <f>IFERROR(IF(Tbl_B5_Help_ANS[[#This Row],[Full Date ("DDD, MMM D, YYYY")]]="","",IF(AND(_xlfn.ISFORMULA(Tbl_B5_Help_ANS[[#This Row],[Full Date ("DDD, MMM D, YYYY")]]),EXACT(Tbl_B5_Help_ANS[[#This Row],[Full Date ("DDD, MMM D, YYYY")]],Tbl_B5_Help_ANS[[#This Row],[Full Date ("DDD, MMM D, YYYY") ANS]])),Rng_Lkp_AnswerStatus_Good,Rng_Lkp_AnswerStatus_Bad)),Rng_Lkp_AnswerStatus_Bad)</f>
        <v>Correct</v>
      </c>
      <c r="T23" s="41" t="s">
        <v>211</v>
      </c>
      <c r="U23" s="52" t="b">
        <f>AND(Tbl_B5_Help_ANS[[#This Row],[State]]="NY",Tbl_B5_Help_ANS[[#This Row],[Start Year ("YYYY") ANS]]="2019")</f>
        <v>0</v>
      </c>
      <c r="V23" s="48" t="str">
        <f>IFERROR(IF(Tbl_B5_Help_ANS[[#This Row],[State is "NY" AND Start Year is "2019" (TRUE/FALSE)]]="","",IF(AND(_xlfn.ISFORMULA(Tbl_B5_Help_ANS[[#This Row],[State is "NY" AND Start Year is "2019" (TRUE/FALSE)]]),EXACT(Tbl_B5_Help_ANS[[#This Row],[State is "NY" AND Start Year is "2019" (TRUE/FALSE)]],Tbl_B5_Help_ANS[[#This Row],[State is "NY" AND Start Year is "2019" (TRUE/FALSE) ANS]])),Rng_Lkp_AnswerStatus_Good,Rng_Lkp_AnswerStatus_Bad)),Rng_Lkp_AnswerStatus_Bad)</f>
        <v>Correct</v>
      </c>
      <c r="W23" s="54" t="b">
        <v>0</v>
      </c>
      <c r="X23" s="52" t="b">
        <f>OR(Tbl_B5_Help_ANS[[#This Row],[State]]="NY",Tbl_B5_Help_ANS[[#This Row],[Start Year ("YYYY")]]="2019")</f>
        <v>0</v>
      </c>
      <c r="Y23" s="48" t="str">
        <f>IFERROR(IF(Tbl_B5_Help_ANS[[#This Row],[State is "NY" OR Start Year is "2019" (TRUE/FALSE)]]="","",IF(AND(_xlfn.ISFORMULA(Tbl_B5_Help_ANS[[#This Row],[State is "NY" OR Start Year is "2019" (TRUE/FALSE)]]),EXACT(Tbl_B5_Help_ANS[[#This Row],[State is "NY" OR Start Year is "2019" (TRUE/FALSE)]],Tbl_B5_Help_ANS[[#This Row],[State is "NY" OR Start Year is "2019" (TRUE/FALSE) ANS]])),Rng_Lkp_AnswerStatus_Good,Rng_Lkp_AnswerStatus_Bad)),Rng_Lkp_AnswerStatus_Bad)</f>
        <v>Correct</v>
      </c>
      <c r="Z23" s="54" t="b">
        <v>0</v>
      </c>
      <c r="AA23" s="52" t="str">
        <f>IF(OR(Tbl_B5_Help_ANS[[#This Row],[State]]="NJ",Tbl_B5_Help_ANS[[#This Row],[Start Year ("YYYY") ANS]]="2012"),"Approve","Deny")</f>
        <v>Approve</v>
      </c>
      <c r="AB23" s="48" t="str">
        <f>IFERROR(IF(Tbl_B5_Help_ANS[[#This Row],[If State is "NJ" OR Start Year is "2012" then "Approve", otherwise "Deny"]]="","",IF(AND(_xlfn.ISFORMULA(Tbl_B5_Help_ANS[[#This Row],[If State is "NJ" OR Start Year is "2012" then "Approve", otherwise "Deny"]]),EXACT(Tbl_B5_Help_ANS[[#This Row],[If State is "NJ" OR Start Year is "2012" then "Approve", otherwise "Deny"]],Tbl_B5_Help_ANS[[#This Row],[If State is "NJ" OR Start Year is "2012" then "Approve", otherwise "Deny" ANS]])),Rng_Lkp_AnswerStatus_Good,Rng_Lkp_AnswerStatus_Bad)),Rng_Lkp_AnswerStatus_Bad)</f>
        <v>Correct</v>
      </c>
      <c r="AC23" s="54" t="s">
        <v>222</v>
      </c>
    </row>
    <row r="24" spans="2:29" x14ac:dyDescent="0.25">
      <c r="B24" s="14">
        <v>2304</v>
      </c>
      <c r="C24" s="14" t="s">
        <v>20</v>
      </c>
      <c r="D24" s="15" t="s">
        <v>49</v>
      </c>
      <c r="E24" s="15">
        <v>43025</v>
      </c>
      <c r="F24" s="89" t="str">
        <f>TEXT(Tbl_B5_Help_ANS[[#This Row],[Member Start Date]],"DDD")</f>
        <v>Tue</v>
      </c>
      <c r="G24" s="27" t="str">
        <f>IFERROR(IF(Tbl_B5_Help_ANS[[#This Row],[Start Weekday ("DDD")]]="","",IF(AND(_xlfn.ISFORMULA(Tbl_B5_Help_ANS[[#This Row],[Start Weekday ("DDD")]]),EXACT(Tbl_B5_Help_ANS[[#This Row],[Start Weekday ("DDD")]],Tbl_B5_Help_ANS[[#This Row],[Start Weekday ("DDD") ANS]])),Rng_Lkp_AnswerStatus_Good,Rng_Lkp_AnswerStatus_Bad)),Rng_Lkp_AnswerStatus_Bad)</f>
        <v>Correct</v>
      </c>
      <c r="H24" s="41" t="s">
        <v>157</v>
      </c>
      <c r="I24" s="89" t="str">
        <f>TEXT(Tbl_B5_Help_ANS[[#This Row],[Member Start Date]],"MMM")</f>
        <v>Oct</v>
      </c>
      <c r="J24" s="27" t="str">
        <f>IFERROR(IF(Tbl_B5_Help_ANS[[#This Row],[Start Month ("MMM")]]="","",IF(AND(_xlfn.ISFORMULA(Tbl_B5_Help_ANS[[#This Row],[Start Month ("MMM")]]),EXACT(Tbl_B5_Help_ANS[[#This Row],[Start Month ("MMM")]],Tbl_B5_Help_ANS[[#This Row],[Start Month ("MMM") ANS]])),Rng_Lkp_AnswerStatus_Good,Rng_Lkp_AnswerStatus_Bad)),Rng_Lkp_AnswerStatus_Bad)</f>
        <v>Correct</v>
      </c>
      <c r="K24" s="41" t="s">
        <v>167</v>
      </c>
      <c r="L24" s="89" t="str">
        <f>TEXT(Tbl_B5_Help_ANS[[#This Row],[Member Start Date]],"D")</f>
        <v>17</v>
      </c>
      <c r="M24" s="27" t="str">
        <f>IFERROR(IF(Tbl_B5_Help_ANS[[#This Row],[Start Day ("D")]]="","",IF(AND(_xlfn.ISFORMULA(Tbl_B5_Help_ANS[[#This Row],[Start Day ("D")]]),EXACT(Tbl_B5_Help_ANS[[#This Row],[Start Day ("D")]],Tbl_B5_Help_ANS[[#This Row],[Start Day ("D") ANS]])),Rng_Lkp_AnswerStatus_Good,Rng_Lkp_AnswerStatus_Bad)),Rng_Lkp_AnswerStatus_Bad)</f>
        <v>Correct</v>
      </c>
      <c r="N24" s="41" t="s">
        <v>185</v>
      </c>
      <c r="O24" s="89" t="str">
        <f>TEXT(Tbl_B5_Help_ANS[[#This Row],[Member Start Date]],"YYYY")</f>
        <v>2017</v>
      </c>
      <c r="P24" s="27" t="str">
        <f>IFERROR(IF(Tbl_B5_Help_ANS[[#This Row],[Start Year ("YYYY")]]="","",IF(AND(_xlfn.ISFORMULA(Tbl_B5_Help_ANS[[#This Row],[Start Year ("YYYY")]]),EXACT(Tbl_B5_Help_ANS[[#This Row],[Start Year ("YYYY")]],Tbl_B5_Help_ANS[[#This Row],[Start Year ("YYYY") ANS]])),Rng_Lkp_AnswerStatus_Good,Rng_Lkp_AnswerStatus_Bad)),Rng_Lkp_AnswerStatus_Bad)</f>
        <v>Correct</v>
      </c>
      <c r="Q24" s="41" t="s">
        <v>191</v>
      </c>
      <c r="R24" s="89" t="str">
        <f>_xlfn.CONCAT(Tbl_B5_Help_ANS[[#This Row],[Start Weekday ("DDD")]],", ",Tbl_B5_Help_ANS[[#This Row],[Start Month ("MMM")]]," ",Tbl_B5_Help_ANS[[#This Row],[Start Day ("D")]],", ",Tbl_B5_Help_ANS[[#This Row],[Start Year ("YYYY")]])</f>
        <v>Tue, Oct 17, 2017</v>
      </c>
      <c r="S24" s="48" t="str">
        <f>IFERROR(IF(Tbl_B5_Help_ANS[[#This Row],[Full Date ("DDD, MMM D, YYYY")]]="","",IF(AND(_xlfn.ISFORMULA(Tbl_B5_Help_ANS[[#This Row],[Full Date ("DDD, MMM D, YYYY")]]),EXACT(Tbl_B5_Help_ANS[[#This Row],[Full Date ("DDD, MMM D, YYYY")]],Tbl_B5_Help_ANS[[#This Row],[Full Date ("DDD, MMM D, YYYY") ANS]])),Rng_Lkp_AnswerStatus_Good,Rng_Lkp_AnswerStatus_Bad)),Rng_Lkp_AnswerStatus_Bad)</f>
        <v>Correct</v>
      </c>
      <c r="T24" s="41" t="s">
        <v>212</v>
      </c>
      <c r="U24" s="52" t="b">
        <f>AND(Tbl_B5_Help_ANS[[#This Row],[State]]="NY",Tbl_B5_Help_ANS[[#This Row],[Start Year ("YYYY") ANS]]="2019")</f>
        <v>0</v>
      </c>
      <c r="V24" s="48" t="str">
        <f>IFERROR(IF(Tbl_B5_Help_ANS[[#This Row],[State is "NY" AND Start Year is "2019" (TRUE/FALSE)]]="","",IF(AND(_xlfn.ISFORMULA(Tbl_B5_Help_ANS[[#This Row],[State is "NY" AND Start Year is "2019" (TRUE/FALSE)]]),EXACT(Tbl_B5_Help_ANS[[#This Row],[State is "NY" AND Start Year is "2019" (TRUE/FALSE)]],Tbl_B5_Help_ANS[[#This Row],[State is "NY" AND Start Year is "2019" (TRUE/FALSE) ANS]])),Rng_Lkp_AnswerStatus_Good,Rng_Lkp_AnswerStatus_Bad)),Rng_Lkp_AnswerStatus_Bad)</f>
        <v>Correct</v>
      </c>
      <c r="W24" s="54" t="b">
        <v>0</v>
      </c>
      <c r="X24" s="52" t="b">
        <f>OR(Tbl_B5_Help_ANS[[#This Row],[State]]="NY",Tbl_B5_Help_ANS[[#This Row],[Start Year ("YYYY")]]="2019")</f>
        <v>1</v>
      </c>
      <c r="Y24" s="48" t="str">
        <f>IFERROR(IF(Tbl_B5_Help_ANS[[#This Row],[State is "NY" OR Start Year is "2019" (TRUE/FALSE)]]="","",IF(AND(_xlfn.ISFORMULA(Tbl_B5_Help_ANS[[#This Row],[State is "NY" OR Start Year is "2019" (TRUE/FALSE)]]),EXACT(Tbl_B5_Help_ANS[[#This Row],[State is "NY" OR Start Year is "2019" (TRUE/FALSE)]],Tbl_B5_Help_ANS[[#This Row],[State is "NY" OR Start Year is "2019" (TRUE/FALSE) ANS]])),Rng_Lkp_AnswerStatus_Good,Rng_Lkp_AnswerStatus_Bad)),Rng_Lkp_AnswerStatus_Bad)</f>
        <v>Correct</v>
      </c>
      <c r="Z24" s="54" t="b">
        <v>1</v>
      </c>
      <c r="AA24" s="52" t="str">
        <f>IF(OR(Tbl_B5_Help_ANS[[#This Row],[State]]="NJ",Tbl_B5_Help_ANS[[#This Row],[Start Year ("YYYY") ANS]]="2012"),"Approve","Deny")</f>
        <v>Deny</v>
      </c>
      <c r="AB24" s="48" t="str">
        <f>IFERROR(IF(Tbl_B5_Help_ANS[[#This Row],[If State is "NJ" OR Start Year is "2012" then "Approve", otherwise "Deny"]]="","",IF(AND(_xlfn.ISFORMULA(Tbl_B5_Help_ANS[[#This Row],[If State is "NJ" OR Start Year is "2012" then "Approve", otherwise "Deny"]]),EXACT(Tbl_B5_Help_ANS[[#This Row],[If State is "NJ" OR Start Year is "2012" then "Approve", otherwise "Deny"]],Tbl_B5_Help_ANS[[#This Row],[If State is "NJ" OR Start Year is "2012" then "Approve", otherwise "Deny" ANS]])),Rng_Lkp_AnswerStatus_Good,Rng_Lkp_AnswerStatus_Bad)),Rng_Lkp_AnswerStatus_Bad)</f>
        <v>Correct</v>
      </c>
      <c r="AC24" s="54" t="s">
        <v>221</v>
      </c>
    </row>
    <row r="25" spans="2:29" x14ac:dyDescent="0.25">
      <c r="B25" s="14">
        <v>3694</v>
      </c>
      <c r="C25" s="14" t="s">
        <v>21</v>
      </c>
      <c r="D25" s="15" t="s">
        <v>57</v>
      </c>
      <c r="E25" s="15">
        <v>43466</v>
      </c>
      <c r="F25" s="89" t="str">
        <f>TEXT(Tbl_B5_Help_ANS[[#This Row],[Member Start Date]],"DDD")</f>
        <v>Tue</v>
      </c>
      <c r="G25" s="27" t="str">
        <f>IFERROR(IF(Tbl_B5_Help_ANS[[#This Row],[Start Weekday ("DDD")]]="","",IF(AND(_xlfn.ISFORMULA(Tbl_B5_Help_ANS[[#This Row],[Start Weekday ("DDD")]]),EXACT(Tbl_B5_Help_ANS[[#This Row],[Start Weekday ("DDD")]],Tbl_B5_Help_ANS[[#This Row],[Start Weekday ("DDD") ANS]])),Rng_Lkp_AnswerStatus_Good,Rng_Lkp_AnswerStatus_Bad)),Rng_Lkp_AnswerStatus_Bad)</f>
        <v>Correct</v>
      </c>
      <c r="H25" s="41" t="s">
        <v>157</v>
      </c>
      <c r="I25" s="89" t="str">
        <f>TEXT(Tbl_B5_Help_ANS[[#This Row],[Member Start Date]],"MMM")</f>
        <v>Jan</v>
      </c>
      <c r="J25" s="27" t="str">
        <f>IFERROR(IF(Tbl_B5_Help_ANS[[#This Row],[Start Month ("MMM")]]="","",IF(AND(_xlfn.ISFORMULA(Tbl_B5_Help_ANS[[#This Row],[Start Month ("MMM")]]),EXACT(Tbl_B5_Help_ANS[[#This Row],[Start Month ("MMM")]],Tbl_B5_Help_ANS[[#This Row],[Start Month ("MMM") ANS]])),Rng_Lkp_AnswerStatus_Good,Rng_Lkp_AnswerStatus_Bad)),Rng_Lkp_AnswerStatus_Bad)</f>
        <v>Correct</v>
      </c>
      <c r="K25" s="41" t="s">
        <v>163</v>
      </c>
      <c r="L25" s="89" t="str">
        <f>TEXT(Tbl_B5_Help_ANS[[#This Row],[Member Start Date]],"D")</f>
        <v>1</v>
      </c>
      <c r="M25" s="27" t="str">
        <f>IFERROR(IF(Tbl_B5_Help_ANS[[#This Row],[Start Day ("D")]]="","",IF(AND(_xlfn.ISFORMULA(Tbl_B5_Help_ANS[[#This Row],[Start Day ("D")]]),EXACT(Tbl_B5_Help_ANS[[#This Row],[Start Day ("D")]],Tbl_B5_Help_ANS[[#This Row],[Start Day ("D") ANS]])),Rng_Lkp_AnswerStatus_Good,Rng_Lkp_AnswerStatus_Bad)),Rng_Lkp_AnswerStatus_Bad)</f>
        <v>Correct</v>
      </c>
      <c r="N25" s="41" t="s">
        <v>174</v>
      </c>
      <c r="O25" s="89" t="str">
        <f>TEXT(Tbl_B5_Help_ANS[[#This Row],[Member Start Date]],"YYYY")</f>
        <v>2019</v>
      </c>
      <c r="P25" s="27" t="str">
        <f>IFERROR(IF(Tbl_B5_Help_ANS[[#This Row],[Start Year ("YYYY")]]="","",IF(AND(_xlfn.ISFORMULA(Tbl_B5_Help_ANS[[#This Row],[Start Year ("YYYY")]]),EXACT(Tbl_B5_Help_ANS[[#This Row],[Start Year ("YYYY")]],Tbl_B5_Help_ANS[[#This Row],[Start Year ("YYYY") ANS]])),Rng_Lkp_AnswerStatus_Good,Rng_Lkp_AnswerStatus_Bad)),Rng_Lkp_AnswerStatus_Bad)</f>
        <v>Correct</v>
      </c>
      <c r="Q25" s="41" t="s">
        <v>189</v>
      </c>
      <c r="R25" s="89" t="str">
        <f>_xlfn.CONCAT(Tbl_B5_Help_ANS[[#This Row],[Start Weekday ("DDD")]],", ",Tbl_B5_Help_ANS[[#This Row],[Start Month ("MMM")]]," ",Tbl_B5_Help_ANS[[#This Row],[Start Day ("D")]],", ",Tbl_B5_Help_ANS[[#This Row],[Start Year ("YYYY")]])</f>
        <v>Tue, Jan 1, 2019</v>
      </c>
      <c r="S25" s="48" t="str">
        <f>IFERROR(IF(Tbl_B5_Help_ANS[[#This Row],[Full Date ("DDD, MMM D, YYYY")]]="","",IF(AND(_xlfn.ISFORMULA(Tbl_B5_Help_ANS[[#This Row],[Full Date ("DDD, MMM D, YYYY")]]),EXACT(Tbl_B5_Help_ANS[[#This Row],[Full Date ("DDD, MMM D, YYYY")]],Tbl_B5_Help_ANS[[#This Row],[Full Date ("DDD, MMM D, YYYY") ANS]])),Rng_Lkp_AnswerStatus_Good,Rng_Lkp_AnswerStatus_Bad)),Rng_Lkp_AnswerStatus_Bad)</f>
        <v>Correct</v>
      </c>
      <c r="T25" s="41" t="s">
        <v>199</v>
      </c>
      <c r="U25" s="52" t="b">
        <f>AND(Tbl_B5_Help_ANS[[#This Row],[State]]="NY",Tbl_B5_Help_ANS[[#This Row],[Start Year ("YYYY") ANS]]="2019")</f>
        <v>0</v>
      </c>
      <c r="V25" s="48" t="str">
        <f>IFERROR(IF(Tbl_B5_Help_ANS[[#This Row],[State is "NY" AND Start Year is "2019" (TRUE/FALSE)]]="","",IF(AND(_xlfn.ISFORMULA(Tbl_B5_Help_ANS[[#This Row],[State is "NY" AND Start Year is "2019" (TRUE/FALSE)]]),EXACT(Tbl_B5_Help_ANS[[#This Row],[State is "NY" AND Start Year is "2019" (TRUE/FALSE)]],Tbl_B5_Help_ANS[[#This Row],[State is "NY" AND Start Year is "2019" (TRUE/FALSE) ANS]])),Rng_Lkp_AnswerStatus_Good,Rng_Lkp_AnswerStatus_Bad)),Rng_Lkp_AnswerStatus_Bad)</f>
        <v>Correct</v>
      </c>
      <c r="W25" s="54" t="b">
        <v>0</v>
      </c>
      <c r="X25" s="52" t="b">
        <f>OR(Tbl_B5_Help_ANS[[#This Row],[State]]="NY",Tbl_B5_Help_ANS[[#This Row],[Start Year ("YYYY")]]="2019")</f>
        <v>1</v>
      </c>
      <c r="Y25" s="48" t="str">
        <f>IFERROR(IF(Tbl_B5_Help_ANS[[#This Row],[State is "NY" OR Start Year is "2019" (TRUE/FALSE)]]="","",IF(AND(_xlfn.ISFORMULA(Tbl_B5_Help_ANS[[#This Row],[State is "NY" OR Start Year is "2019" (TRUE/FALSE)]]),EXACT(Tbl_B5_Help_ANS[[#This Row],[State is "NY" OR Start Year is "2019" (TRUE/FALSE)]],Tbl_B5_Help_ANS[[#This Row],[State is "NY" OR Start Year is "2019" (TRUE/FALSE) ANS]])),Rng_Lkp_AnswerStatus_Good,Rng_Lkp_AnswerStatus_Bad)),Rng_Lkp_AnswerStatus_Bad)</f>
        <v>Correct</v>
      </c>
      <c r="Z25" s="54" t="b">
        <v>1</v>
      </c>
      <c r="AA25" s="52" t="str">
        <f>IF(OR(Tbl_B5_Help_ANS[[#This Row],[State]]="NJ",Tbl_B5_Help_ANS[[#This Row],[Start Year ("YYYY") ANS]]="2012"),"Approve","Deny")</f>
        <v>Deny</v>
      </c>
      <c r="AB25" s="48" t="str">
        <f>IFERROR(IF(Tbl_B5_Help_ANS[[#This Row],[If State is "NJ" OR Start Year is "2012" then "Approve", otherwise "Deny"]]="","",IF(AND(_xlfn.ISFORMULA(Tbl_B5_Help_ANS[[#This Row],[If State is "NJ" OR Start Year is "2012" then "Approve", otherwise "Deny"]]),EXACT(Tbl_B5_Help_ANS[[#This Row],[If State is "NJ" OR Start Year is "2012" then "Approve", otherwise "Deny"]],Tbl_B5_Help_ANS[[#This Row],[If State is "NJ" OR Start Year is "2012" then "Approve", otherwise "Deny" ANS]])),Rng_Lkp_AnswerStatus_Good,Rng_Lkp_AnswerStatus_Bad)),Rng_Lkp_AnswerStatus_Bad)</f>
        <v>Correct</v>
      </c>
      <c r="AC25" s="54" t="s">
        <v>221</v>
      </c>
    </row>
    <row r="26" spans="2:29" x14ac:dyDescent="0.25">
      <c r="B26" s="14">
        <v>4522</v>
      </c>
      <c r="C26" s="14" t="s">
        <v>22</v>
      </c>
      <c r="D26" s="15" t="s">
        <v>56</v>
      </c>
      <c r="E26" s="15">
        <v>43466</v>
      </c>
      <c r="F26" s="89" t="str">
        <f>TEXT(Tbl_B5_Help_ANS[[#This Row],[Member Start Date]],"DDD")</f>
        <v>Tue</v>
      </c>
      <c r="G26" s="27" t="str">
        <f>IFERROR(IF(Tbl_B5_Help_ANS[[#This Row],[Start Weekday ("DDD")]]="","",IF(AND(_xlfn.ISFORMULA(Tbl_B5_Help_ANS[[#This Row],[Start Weekday ("DDD")]]),EXACT(Tbl_B5_Help_ANS[[#This Row],[Start Weekday ("DDD")]],Tbl_B5_Help_ANS[[#This Row],[Start Weekday ("DDD") ANS]])),Rng_Lkp_AnswerStatus_Good,Rng_Lkp_AnswerStatus_Bad)),Rng_Lkp_AnswerStatus_Bad)</f>
        <v>Correct</v>
      </c>
      <c r="H26" s="41" t="s">
        <v>157</v>
      </c>
      <c r="I26" s="89" t="str">
        <f>TEXT(Tbl_B5_Help_ANS[[#This Row],[Member Start Date]],"MMM")</f>
        <v>Jan</v>
      </c>
      <c r="J26" s="27" t="str">
        <f>IFERROR(IF(Tbl_B5_Help_ANS[[#This Row],[Start Month ("MMM")]]="","",IF(AND(_xlfn.ISFORMULA(Tbl_B5_Help_ANS[[#This Row],[Start Month ("MMM")]]),EXACT(Tbl_B5_Help_ANS[[#This Row],[Start Month ("MMM")]],Tbl_B5_Help_ANS[[#This Row],[Start Month ("MMM") ANS]])),Rng_Lkp_AnswerStatus_Good,Rng_Lkp_AnswerStatus_Bad)),Rng_Lkp_AnswerStatus_Bad)</f>
        <v>Correct</v>
      </c>
      <c r="K26" s="41" t="s">
        <v>163</v>
      </c>
      <c r="L26" s="89" t="str">
        <f>TEXT(Tbl_B5_Help_ANS[[#This Row],[Member Start Date]],"D")</f>
        <v>1</v>
      </c>
      <c r="M26" s="27" t="str">
        <f>IFERROR(IF(Tbl_B5_Help_ANS[[#This Row],[Start Day ("D")]]="","",IF(AND(_xlfn.ISFORMULA(Tbl_B5_Help_ANS[[#This Row],[Start Day ("D")]]),EXACT(Tbl_B5_Help_ANS[[#This Row],[Start Day ("D")]],Tbl_B5_Help_ANS[[#This Row],[Start Day ("D") ANS]])),Rng_Lkp_AnswerStatus_Good,Rng_Lkp_AnswerStatus_Bad)),Rng_Lkp_AnswerStatus_Bad)</f>
        <v>Correct</v>
      </c>
      <c r="N26" s="41" t="s">
        <v>174</v>
      </c>
      <c r="O26" s="89" t="str">
        <f>TEXT(Tbl_B5_Help_ANS[[#This Row],[Member Start Date]],"YYYY")</f>
        <v>2019</v>
      </c>
      <c r="P26" s="27" t="str">
        <f>IFERROR(IF(Tbl_B5_Help_ANS[[#This Row],[Start Year ("YYYY")]]="","",IF(AND(_xlfn.ISFORMULA(Tbl_B5_Help_ANS[[#This Row],[Start Year ("YYYY")]]),EXACT(Tbl_B5_Help_ANS[[#This Row],[Start Year ("YYYY")]],Tbl_B5_Help_ANS[[#This Row],[Start Year ("YYYY") ANS]])),Rng_Lkp_AnswerStatus_Good,Rng_Lkp_AnswerStatus_Bad)),Rng_Lkp_AnswerStatus_Bad)</f>
        <v>Correct</v>
      </c>
      <c r="Q26" s="41" t="s">
        <v>189</v>
      </c>
      <c r="R26" s="89" t="str">
        <f>_xlfn.CONCAT(Tbl_B5_Help_ANS[[#This Row],[Start Weekday ("DDD")]],", ",Tbl_B5_Help_ANS[[#This Row],[Start Month ("MMM")]]," ",Tbl_B5_Help_ANS[[#This Row],[Start Day ("D")]],", ",Tbl_B5_Help_ANS[[#This Row],[Start Year ("YYYY")]])</f>
        <v>Tue, Jan 1, 2019</v>
      </c>
      <c r="S26" s="48" t="str">
        <f>IFERROR(IF(Tbl_B5_Help_ANS[[#This Row],[Full Date ("DDD, MMM D, YYYY")]]="","",IF(AND(_xlfn.ISFORMULA(Tbl_B5_Help_ANS[[#This Row],[Full Date ("DDD, MMM D, YYYY")]]),EXACT(Tbl_B5_Help_ANS[[#This Row],[Full Date ("DDD, MMM D, YYYY")]],Tbl_B5_Help_ANS[[#This Row],[Full Date ("DDD, MMM D, YYYY") ANS]])),Rng_Lkp_AnswerStatus_Good,Rng_Lkp_AnswerStatus_Bad)),Rng_Lkp_AnswerStatus_Bad)</f>
        <v>Correct</v>
      </c>
      <c r="T26" s="41" t="s">
        <v>199</v>
      </c>
      <c r="U26" s="52" t="b">
        <f>AND(Tbl_B5_Help_ANS[[#This Row],[State]]="NY",Tbl_B5_Help_ANS[[#This Row],[Start Year ("YYYY") ANS]]="2019")</f>
        <v>0</v>
      </c>
      <c r="V26" s="48" t="str">
        <f>IFERROR(IF(Tbl_B5_Help_ANS[[#This Row],[State is "NY" AND Start Year is "2019" (TRUE/FALSE)]]="","",IF(AND(_xlfn.ISFORMULA(Tbl_B5_Help_ANS[[#This Row],[State is "NY" AND Start Year is "2019" (TRUE/FALSE)]]),EXACT(Tbl_B5_Help_ANS[[#This Row],[State is "NY" AND Start Year is "2019" (TRUE/FALSE)]],Tbl_B5_Help_ANS[[#This Row],[State is "NY" AND Start Year is "2019" (TRUE/FALSE) ANS]])),Rng_Lkp_AnswerStatus_Good,Rng_Lkp_AnswerStatus_Bad)),Rng_Lkp_AnswerStatus_Bad)</f>
        <v>Correct</v>
      </c>
      <c r="W26" s="54" t="b">
        <v>0</v>
      </c>
      <c r="X26" s="52" t="b">
        <f>OR(Tbl_B5_Help_ANS[[#This Row],[State]]="NY",Tbl_B5_Help_ANS[[#This Row],[Start Year ("YYYY")]]="2019")</f>
        <v>1</v>
      </c>
      <c r="Y26" s="48" t="str">
        <f>IFERROR(IF(Tbl_B5_Help_ANS[[#This Row],[State is "NY" OR Start Year is "2019" (TRUE/FALSE)]]="","",IF(AND(_xlfn.ISFORMULA(Tbl_B5_Help_ANS[[#This Row],[State is "NY" OR Start Year is "2019" (TRUE/FALSE)]]),EXACT(Tbl_B5_Help_ANS[[#This Row],[State is "NY" OR Start Year is "2019" (TRUE/FALSE)]],Tbl_B5_Help_ANS[[#This Row],[State is "NY" OR Start Year is "2019" (TRUE/FALSE) ANS]])),Rng_Lkp_AnswerStatus_Good,Rng_Lkp_AnswerStatus_Bad)),Rng_Lkp_AnswerStatus_Bad)</f>
        <v>Correct</v>
      </c>
      <c r="Z26" s="54" t="b">
        <v>1</v>
      </c>
      <c r="AA26" s="52" t="str">
        <f>IF(OR(Tbl_B5_Help_ANS[[#This Row],[State]]="NJ",Tbl_B5_Help_ANS[[#This Row],[Start Year ("YYYY") ANS]]="2012"),"Approve","Deny")</f>
        <v>Deny</v>
      </c>
      <c r="AB26" s="48" t="str">
        <f>IFERROR(IF(Tbl_B5_Help_ANS[[#This Row],[If State is "NJ" OR Start Year is "2012" then "Approve", otherwise "Deny"]]="","",IF(AND(_xlfn.ISFORMULA(Tbl_B5_Help_ANS[[#This Row],[If State is "NJ" OR Start Year is "2012" then "Approve", otherwise "Deny"]]),EXACT(Tbl_B5_Help_ANS[[#This Row],[If State is "NJ" OR Start Year is "2012" then "Approve", otherwise "Deny"]],Tbl_B5_Help_ANS[[#This Row],[If State is "NJ" OR Start Year is "2012" then "Approve", otherwise "Deny" ANS]])),Rng_Lkp_AnswerStatus_Good,Rng_Lkp_AnswerStatus_Bad)),Rng_Lkp_AnswerStatus_Bad)</f>
        <v>Correct</v>
      </c>
      <c r="AC26" s="54" t="s">
        <v>221</v>
      </c>
    </row>
    <row r="27" spans="2:29" x14ac:dyDescent="0.25">
      <c r="B27" s="14">
        <v>1198</v>
      </c>
      <c r="C27" s="14" t="s">
        <v>148</v>
      </c>
      <c r="D27" s="15" t="s">
        <v>49</v>
      </c>
      <c r="E27" s="15">
        <v>41905</v>
      </c>
      <c r="F27" s="89" t="str">
        <f>TEXT(Tbl_B5_Help_ANS[[#This Row],[Member Start Date]],"DDD")</f>
        <v>Tue</v>
      </c>
      <c r="G27" s="27" t="str">
        <f>IFERROR(IF(Tbl_B5_Help_ANS[[#This Row],[Start Weekday ("DDD")]]="","",IF(AND(_xlfn.ISFORMULA(Tbl_B5_Help_ANS[[#This Row],[Start Weekday ("DDD")]]),EXACT(Tbl_B5_Help_ANS[[#This Row],[Start Weekday ("DDD")]],Tbl_B5_Help_ANS[[#This Row],[Start Weekday ("DDD") ANS]])),Rng_Lkp_AnswerStatus_Good,Rng_Lkp_AnswerStatus_Bad)),Rng_Lkp_AnswerStatus_Bad)</f>
        <v>Correct</v>
      </c>
      <c r="H27" s="41" t="s">
        <v>157</v>
      </c>
      <c r="I27" s="89" t="str">
        <f>TEXT(Tbl_B5_Help_ANS[[#This Row],[Member Start Date]],"MMM")</f>
        <v>Sep</v>
      </c>
      <c r="J27" s="27" t="str">
        <f>IFERROR(IF(Tbl_B5_Help_ANS[[#This Row],[Start Month ("MMM")]]="","",IF(AND(_xlfn.ISFORMULA(Tbl_B5_Help_ANS[[#This Row],[Start Month ("MMM")]]),EXACT(Tbl_B5_Help_ANS[[#This Row],[Start Month ("MMM")]],Tbl_B5_Help_ANS[[#This Row],[Start Month ("MMM") ANS]])),Rng_Lkp_AnswerStatus_Good,Rng_Lkp_AnswerStatus_Bad)),Rng_Lkp_AnswerStatus_Bad)</f>
        <v>Correct</v>
      </c>
      <c r="K27" s="41" t="s">
        <v>169</v>
      </c>
      <c r="L27" s="89" t="str">
        <f>TEXT(Tbl_B5_Help_ANS[[#This Row],[Member Start Date]],"D")</f>
        <v>23</v>
      </c>
      <c r="M27" s="27" t="str">
        <f>IFERROR(IF(Tbl_B5_Help_ANS[[#This Row],[Start Day ("D")]]="","",IF(AND(_xlfn.ISFORMULA(Tbl_B5_Help_ANS[[#This Row],[Start Day ("D")]]),EXACT(Tbl_B5_Help_ANS[[#This Row],[Start Day ("D")]],Tbl_B5_Help_ANS[[#This Row],[Start Day ("D") ANS]])),Rng_Lkp_AnswerStatus_Good,Rng_Lkp_AnswerStatus_Bad)),Rng_Lkp_AnswerStatus_Bad)</f>
        <v>Correct</v>
      </c>
      <c r="N27" s="41" t="s">
        <v>186</v>
      </c>
      <c r="O27" s="89" t="str">
        <f>TEXT(Tbl_B5_Help_ANS[[#This Row],[Member Start Date]],"YYYY")</f>
        <v>2014</v>
      </c>
      <c r="P27" s="27" t="str">
        <f>IFERROR(IF(Tbl_B5_Help_ANS[[#This Row],[Start Year ("YYYY")]]="","",IF(AND(_xlfn.ISFORMULA(Tbl_B5_Help_ANS[[#This Row],[Start Year ("YYYY")]]),EXACT(Tbl_B5_Help_ANS[[#This Row],[Start Year ("YYYY")]],Tbl_B5_Help_ANS[[#This Row],[Start Year ("YYYY") ANS]])),Rng_Lkp_AnswerStatus_Good,Rng_Lkp_AnswerStatus_Bad)),Rng_Lkp_AnswerStatus_Bad)</f>
        <v>Correct</v>
      </c>
      <c r="Q27" s="41" t="s">
        <v>195</v>
      </c>
      <c r="R27" s="89" t="str">
        <f>_xlfn.CONCAT(Tbl_B5_Help_ANS[[#This Row],[Start Weekday ("DDD")]],", ",Tbl_B5_Help_ANS[[#This Row],[Start Month ("MMM")]]," ",Tbl_B5_Help_ANS[[#This Row],[Start Day ("D")]],", ",Tbl_B5_Help_ANS[[#This Row],[Start Year ("YYYY")]])</f>
        <v>Tue, Sep 23, 2014</v>
      </c>
      <c r="S27" s="48" t="str">
        <f>IFERROR(IF(Tbl_B5_Help_ANS[[#This Row],[Full Date ("DDD, MMM D, YYYY")]]="","",IF(AND(_xlfn.ISFORMULA(Tbl_B5_Help_ANS[[#This Row],[Full Date ("DDD, MMM D, YYYY")]]),EXACT(Tbl_B5_Help_ANS[[#This Row],[Full Date ("DDD, MMM D, YYYY")]],Tbl_B5_Help_ANS[[#This Row],[Full Date ("DDD, MMM D, YYYY") ANS]])),Rng_Lkp_AnswerStatus_Good,Rng_Lkp_AnswerStatus_Bad)),Rng_Lkp_AnswerStatus_Bad)</f>
        <v>Correct</v>
      </c>
      <c r="T27" s="41" t="s">
        <v>213</v>
      </c>
      <c r="U27" s="52" t="b">
        <f>AND(Tbl_B5_Help_ANS[[#This Row],[State]]="NY",Tbl_B5_Help_ANS[[#This Row],[Start Year ("YYYY") ANS]]="2019")</f>
        <v>0</v>
      </c>
      <c r="V27" s="48" t="str">
        <f>IFERROR(IF(Tbl_B5_Help_ANS[[#This Row],[State is "NY" AND Start Year is "2019" (TRUE/FALSE)]]="","",IF(AND(_xlfn.ISFORMULA(Tbl_B5_Help_ANS[[#This Row],[State is "NY" AND Start Year is "2019" (TRUE/FALSE)]]),EXACT(Tbl_B5_Help_ANS[[#This Row],[State is "NY" AND Start Year is "2019" (TRUE/FALSE)]],Tbl_B5_Help_ANS[[#This Row],[State is "NY" AND Start Year is "2019" (TRUE/FALSE) ANS]])),Rng_Lkp_AnswerStatus_Good,Rng_Lkp_AnswerStatus_Bad)),Rng_Lkp_AnswerStatus_Bad)</f>
        <v>Correct</v>
      </c>
      <c r="W27" s="54" t="b">
        <v>0</v>
      </c>
      <c r="X27" s="52" t="b">
        <f>OR(Tbl_B5_Help_ANS[[#This Row],[State]]="NY",Tbl_B5_Help_ANS[[#This Row],[Start Year ("YYYY")]]="2019")</f>
        <v>1</v>
      </c>
      <c r="Y27" s="48" t="str">
        <f>IFERROR(IF(Tbl_B5_Help_ANS[[#This Row],[State is "NY" OR Start Year is "2019" (TRUE/FALSE)]]="","",IF(AND(_xlfn.ISFORMULA(Tbl_B5_Help_ANS[[#This Row],[State is "NY" OR Start Year is "2019" (TRUE/FALSE)]]),EXACT(Tbl_B5_Help_ANS[[#This Row],[State is "NY" OR Start Year is "2019" (TRUE/FALSE)]],Tbl_B5_Help_ANS[[#This Row],[State is "NY" OR Start Year is "2019" (TRUE/FALSE) ANS]])),Rng_Lkp_AnswerStatus_Good,Rng_Lkp_AnswerStatus_Bad)),Rng_Lkp_AnswerStatus_Bad)</f>
        <v>Correct</v>
      </c>
      <c r="Z27" s="54" t="b">
        <v>1</v>
      </c>
      <c r="AA27" s="52" t="str">
        <f>IF(OR(Tbl_B5_Help_ANS[[#This Row],[State]]="NJ",Tbl_B5_Help_ANS[[#This Row],[Start Year ("YYYY") ANS]]="2012"),"Approve","Deny")</f>
        <v>Deny</v>
      </c>
      <c r="AB27" s="48" t="str">
        <f>IFERROR(IF(Tbl_B5_Help_ANS[[#This Row],[If State is "NJ" OR Start Year is "2012" then "Approve", otherwise "Deny"]]="","",IF(AND(_xlfn.ISFORMULA(Tbl_B5_Help_ANS[[#This Row],[If State is "NJ" OR Start Year is "2012" then "Approve", otherwise "Deny"]]),EXACT(Tbl_B5_Help_ANS[[#This Row],[If State is "NJ" OR Start Year is "2012" then "Approve", otherwise "Deny"]],Tbl_B5_Help_ANS[[#This Row],[If State is "NJ" OR Start Year is "2012" then "Approve", otherwise "Deny" ANS]])),Rng_Lkp_AnswerStatus_Good,Rng_Lkp_AnswerStatus_Bad)),Rng_Lkp_AnswerStatus_Bad)</f>
        <v>Correct</v>
      </c>
      <c r="AC27" s="54" t="s">
        <v>221</v>
      </c>
    </row>
  </sheetData>
  <conditionalFormatting sqref="B5:C6 G6 J6 M6 P6 S6 V6 Y6 AB6">
    <cfRule type="colorScale" priority="5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B8:AC27">
    <cfRule type="cellIs" dxfId="45" priority="6" operator="equal">
      <formula>Rng_Lkp_AnswerStatus_Bad</formula>
    </cfRule>
    <cfRule type="cellIs" dxfId="44" priority="7" operator="equal">
      <formula>Rng_Lkp_AnswerStatus_Good</formula>
    </cfRule>
  </conditionalFormatting>
  <pageMargins left="0.7" right="0.7" top="0.75" bottom="0.75" header="0.3" footer="0.3"/>
  <pageSetup paperSize="121" orientation="portrait" horizontalDpi="300" verticalDpi="300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6DF35-0A30-413F-8BF7-DD738587EA56}">
  <sheetPr>
    <tabColor theme="1"/>
  </sheetPr>
  <dimension ref="A1:E5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9.140625" defaultRowHeight="15" x14ac:dyDescent="0.25"/>
  <cols>
    <col min="1" max="1" width="7.7109375" bestFit="1" customWidth="1"/>
    <col min="2" max="2" width="2.7109375" customWidth="1"/>
    <col min="3" max="3" width="4.140625" bestFit="1" customWidth="1"/>
    <col min="4" max="4" width="2.7109375" customWidth="1"/>
    <col min="5" max="5" width="12.42578125" bestFit="1" customWidth="1"/>
  </cols>
  <sheetData>
    <row r="1" spans="1:5" s="66" customFormat="1" ht="30" x14ac:dyDescent="0.25">
      <c r="A1" s="60" t="s">
        <v>27</v>
      </c>
      <c r="C1" s="60" t="s">
        <v>81</v>
      </c>
      <c r="E1" s="20" t="s">
        <v>64</v>
      </c>
    </row>
    <row r="2" spans="1:5" x14ac:dyDescent="0.25">
      <c r="A2" s="59" t="s">
        <v>28</v>
      </c>
      <c r="C2" s="59" t="s">
        <v>61</v>
      </c>
      <c r="E2" s="58" t="s">
        <v>63</v>
      </c>
    </row>
    <row r="3" spans="1:5" x14ac:dyDescent="0.25">
      <c r="A3" s="19" t="s">
        <v>29</v>
      </c>
      <c r="C3" s="67" t="s">
        <v>62</v>
      </c>
      <c r="E3" s="61" t="s">
        <v>65</v>
      </c>
    </row>
    <row r="4" spans="1:5" x14ac:dyDescent="0.25">
      <c r="E4" s="61" t="s">
        <v>66</v>
      </c>
    </row>
    <row r="5" spans="1:5" x14ac:dyDescent="0.25">
      <c r="E5" s="61" t="s">
        <v>67</v>
      </c>
    </row>
  </sheetData>
  <pageMargins left="0.7" right="0.7" top="0.75" bottom="0.75" header="0.3" footer="0.3"/>
  <pageSetup paperSize="121" orientation="portrait" horizontalDpi="300" verticalDpi="300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CAB5B-CF38-4C66-AD23-831894DD4012}">
  <sheetPr>
    <tabColor theme="6"/>
  </sheetPr>
  <dimension ref="A1:G11"/>
  <sheetViews>
    <sheetView showGridLines="0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ColWidth="9.140625" defaultRowHeight="15" outlineLevelRow="1" outlineLevelCol="1" x14ac:dyDescent="0.25"/>
  <cols>
    <col min="1" max="1" width="2.5703125" style="10" customWidth="1"/>
    <col min="2" max="2" width="6.140625" style="10" bestFit="1" customWidth="1"/>
    <col min="3" max="3" width="17.5703125" style="10" bestFit="1" customWidth="1"/>
    <col min="4" max="4" width="16.28515625" style="10" bestFit="1" customWidth="1"/>
    <col min="5" max="5" width="8.140625" style="10" bestFit="1" customWidth="1"/>
    <col min="6" max="6" width="16.28515625" style="10" hidden="1" customWidth="1" outlineLevel="1"/>
    <col min="7" max="7" width="9.140625" style="10" collapsed="1"/>
    <col min="8" max="16384" width="9.140625" style="10"/>
  </cols>
  <sheetData>
    <row r="1" spans="1:6" s="8" customFormat="1" ht="21" x14ac:dyDescent="0.35">
      <c r="A1" s="63" t="s">
        <v>128</v>
      </c>
      <c r="B1" s="4"/>
    </row>
    <row r="2" spans="1:6" s="8" customFormat="1" ht="18.75" x14ac:dyDescent="0.3">
      <c r="A2" s="64" t="s">
        <v>74</v>
      </c>
      <c r="B2" s="9"/>
    </row>
    <row r="3" spans="1:6" ht="6.95" customHeight="1" x14ac:dyDescent="0.25"/>
    <row r="4" spans="1:6" x14ac:dyDescent="0.25">
      <c r="C4" s="16" t="s">
        <v>137</v>
      </c>
      <c r="D4" s="30">
        <v>1</v>
      </c>
      <c r="E4" s="17"/>
      <c r="F4" s="17"/>
    </row>
    <row r="5" spans="1:6" hidden="1" outlineLevel="1" x14ac:dyDescent="0.25">
      <c r="B5" s="38" t="str">
        <f>IFERROR(IF(SUMIFS(D5:F5,D4:F4,"&gt;=0")=0,"",SUMIFS(D5:F5,D4:F4,"&gt;=0")/SUMIFS(D5:F5,D6:F6,"ANSWER")),"")</f>
        <v/>
      </c>
      <c r="C5" s="35" t="s">
        <v>43</v>
      </c>
      <c r="D5" s="36">
        <f>IFERROR(COUNTA(Tbl_A1_FormulaElementsIntro_01[Formula Element]),"")</f>
        <v>0</v>
      </c>
      <c r="E5" s="37">
        <f>IFERROR(COUNTIF(Tbl_A1_FormulaElementsIntro_01[Answer Status Q01],Rng_Lkp_AnswerStatus_Good),"")</f>
        <v>0</v>
      </c>
      <c r="F5" s="37">
        <f>IFERROR(COUNTA(Tbl_A1_FormulaElementsIntro_01[Formula Element ANS]),"")</f>
        <v>4</v>
      </c>
    </row>
    <row r="6" spans="1:6" collapsed="1" x14ac:dyDescent="0.25">
      <c r="B6" s="38" t="str">
        <f>IFERROR(IF(SUMIFS(D5:F5,D4:F4,"&gt;=0")=0,"",SUMIFS(D5:F5,D6:F6,"&gt;=0", D6:F6,"&lt;=1")/SUMIFS(D5:F5,D4:F4,"&gt;0")),"")</f>
        <v/>
      </c>
      <c r="C6" s="35" t="s">
        <v>44</v>
      </c>
      <c r="D6" s="65" t="s">
        <v>72</v>
      </c>
      <c r="E6" s="28" t="str">
        <f>IFERROR(E5/D5,"")</f>
        <v/>
      </c>
      <c r="F6" s="31" t="s">
        <v>26</v>
      </c>
    </row>
    <row r="7" spans="1:6" ht="45" x14ac:dyDescent="0.25">
      <c r="B7" s="20" t="s">
        <v>68</v>
      </c>
      <c r="C7" s="21" t="s">
        <v>73</v>
      </c>
      <c r="D7" s="29" t="s">
        <v>64</v>
      </c>
      <c r="E7" s="26" t="s">
        <v>33</v>
      </c>
      <c r="F7" s="32" t="s">
        <v>75</v>
      </c>
    </row>
    <row r="8" spans="1:6" x14ac:dyDescent="0.25">
      <c r="B8" s="11">
        <f t="shared" ref="B8:B11" si="0">ROW(B8)-ROW(B$7)</f>
        <v>1</v>
      </c>
      <c r="C8" s="62" t="s">
        <v>45</v>
      </c>
      <c r="D8" s="39"/>
      <c r="E8" s="27" t="str">
        <f>IFERROR(IF(Tbl_A1_FormulaElementsIntro_01[[#This Row],[Formula Element]]="","",IF(EXACT(Tbl_A1_FormulaElementsIntro_01[[#This Row],[Formula Element]],Tbl_A1_FormulaElementsIntro_01[[#This Row],[Formula Element ANS]]),Rng_Lkp_AnswerStatus_Good,Rng_Lkp_AnswerStatus_Bad)),Rng_Lkp_AnswerStatus_Bad)</f>
        <v/>
      </c>
      <c r="F8" s="41" t="s">
        <v>63</v>
      </c>
    </row>
    <row r="9" spans="1:6" x14ac:dyDescent="0.25">
      <c r="B9" s="11">
        <f t="shared" si="0"/>
        <v>2</v>
      </c>
      <c r="C9" s="62" t="s">
        <v>69</v>
      </c>
      <c r="D9" s="40"/>
      <c r="E9" s="27" t="str">
        <f>IFERROR(IF(Tbl_A1_FormulaElementsIntro_01[[#This Row],[Formula Element]]="","",IF(EXACT(Tbl_A1_FormulaElementsIntro_01[[#This Row],[Formula Element]],Tbl_A1_FormulaElementsIntro_01[[#This Row],[Formula Element ANS]]),Rng_Lkp_AnswerStatus_Good,Rng_Lkp_AnswerStatus_Bad)),Rng_Lkp_AnswerStatus_Bad)</f>
        <v/>
      </c>
      <c r="F9" s="41" t="s">
        <v>65</v>
      </c>
    </row>
    <row r="10" spans="1:6" x14ac:dyDescent="0.25">
      <c r="B10" s="11">
        <f t="shared" si="0"/>
        <v>3</v>
      </c>
      <c r="C10" s="62" t="s">
        <v>70</v>
      </c>
      <c r="D10" s="40"/>
      <c r="E10" s="27" t="str">
        <f>IFERROR(IF(Tbl_A1_FormulaElementsIntro_01[[#This Row],[Formula Element]]="","",IF(EXACT(Tbl_A1_FormulaElementsIntro_01[[#This Row],[Formula Element]],Tbl_A1_FormulaElementsIntro_01[[#This Row],[Formula Element ANS]]),Rng_Lkp_AnswerStatus_Good,Rng_Lkp_AnswerStatus_Bad)),Rng_Lkp_AnswerStatus_Bad)</f>
        <v/>
      </c>
      <c r="F10" s="41" t="s">
        <v>66</v>
      </c>
    </row>
    <row r="11" spans="1:6" x14ac:dyDescent="0.25">
      <c r="B11" s="11">
        <f t="shared" si="0"/>
        <v>4</v>
      </c>
      <c r="C11" s="62" t="s">
        <v>71</v>
      </c>
      <c r="D11" s="40"/>
      <c r="E11" s="27" t="str">
        <f>IFERROR(IF(Tbl_A1_FormulaElementsIntro_01[[#This Row],[Formula Element]]="","",IF(EXACT(Tbl_A1_FormulaElementsIntro_01[[#This Row],[Formula Element]],Tbl_A1_FormulaElementsIntro_01[[#This Row],[Formula Element ANS]]),Rng_Lkp_AnswerStatus_Good,Rng_Lkp_AnswerStatus_Bad)),Rng_Lkp_AnswerStatus_Bad)</f>
        <v/>
      </c>
      <c r="F11" s="41" t="s">
        <v>67</v>
      </c>
    </row>
  </sheetData>
  <conditionalFormatting sqref="B8:F11">
    <cfRule type="cellIs" dxfId="363" priority="2" operator="equal">
      <formula>Rng_Lkp_AnswerStatus_Bad</formula>
    </cfRule>
    <cfRule type="cellIs" dxfId="362" priority="3" operator="equal">
      <formula>Rng_Lkp_AnswerStatus_Good</formula>
    </cfRule>
  </conditionalFormatting>
  <conditionalFormatting sqref="B5:B6 E6">
    <cfRule type="colorScale" priority="1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errorTitle="Invalid Entry" error="Please choose one of the options from the dropdown list." sqref="D8:D11" xr:uid="{D077688C-641F-46F1-959D-7A50A485ABF0}">
      <formula1>Rng_Lkp_FormulaElement</formula1>
    </dataValidation>
  </dataValidations>
  <pageMargins left="0.7" right="0.7" top="0.75" bottom="0.75" header="0.3" footer="0.3"/>
  <pageSetup paperSize="121" orientation="portrait" horizontalDpi="300" verticalDpi="30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2B922-42CC-478C-8867-2775AC0A3CEA}">
  <sheetPr>
    <tabColor theme="6"/>
  </sheetPr>
  <dimension ref="A1:G11"/>
  <sheetViews>
    <sheetView showGridLines="0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ColWidth="9.140625" defaultRowHeight="15" outlineLevelRow="1" outlineLevelCol="1" x14ac:dyDescent="0.25"/>
  <cols>
    <col min="1" max="1" width="2.5703125" style="10" customWidth="1"/>
    <col min="2" max="2" width="6.140625" style="10" bestFit="1" customWidth="1"/>
    <col min="3" max="3" width="17.5703125" style="10" bestFit="1" customWidth="1"/>
    <col min="4" max="4" width="16.28515625" style="10" bestFit="1" customWidth="1"/>
    <col min="5" max="5" width="8.140625" style="10" bestFit="1" customWidth="1"/>
    <col min="6" max="6" width="16.28515625" style="10" hidden="1" customWidth="1" outlineLevel="1"/>
    <col min="7" max="7" width="9.140625" style="10" collapsed="1"/>
    <col min="8" max="16384" width="9.140625" style="10"/>
  </cols>
  <sheetData>
    <row r="1" spans="1:6" s="8" customFormat="1" ht="21" x14ac:dyDescent="0.35">
      <c r="A1" s="63" t="s">
        <v>128</v>
      </c>
      <c r="B1" s="4"/>
    </row>
    <row r="2" spans="1:6" s="8" customFormat="1" ht="18.75" x14ac:dyDescent="0.3">
      <c r="A2" s="64" t="s">
        <v>74</v>
      </c>
      <c r="B2" s="9"/>
    </row>
    <row r="3" spans="1:6" ht="6.95" customHeight="1" x14ac:dyDescent="0.25"/>
    <row r="4" spans="1:6" x14ac:dyDescent="0.25">
      <c r="C4" s="16" t="s">
        <v>137</v>
      </c>
      <c r="D4" s="30">
        <v>1</v>
      </c>
      <c r="E4" s="17"/>
      <c r="F4" s="17"/>
    </row>
    <row r="5" spans="1:6" hidden="1" outlineLevel="1" x14ac:dyDescent="0.25">
      <c r="B5" s="38">
        <f>IFERROR(IF(SUMIFS(D5:F5,D4:F4,"&gt;=0")=0,"",SUMIFS(D5:F5,D4:F4,"&gt;=0")/SUMIFS(D5:F5,D6:F6,"ANSWER")),"")</f>
        <v>1</v>
      </c>
      <c r="C5" s="35" t="s">
        <v>43</v>
      </c>
      <c r="D5" s="36">
        <f>IFERROR(COUNTA(Tbl_A1_FormulaElementsIntro_ANS[Formula Element]),"")</f>
        <v>4</v>
      </c>
      <c r="E5" s="37">
        <f>IFERROR(COUNTIF(Tbl_A1_FormulaElementsIntro_ANS[Answer Status Q01],Rng_Lkp_AnswerStatus_Good),"")</f>
        <v>4</v>
      </c>
      <c r="F5" s="37">
        <f>IFERROR(COUNTA(Tbl_A1_FormulaElementsIntro_ANS[Formula Element ANS]),"")</f>
        <v>4</v>
      </c>
    </row>
    <row r="6" spans="1:6" collapsed="1" x14ac:dyDescent="0.25">
      <c r="B6" s="38">
        <f>IFERROR(IF(SUMIFS(D5:F5,D4:F4,"&gt;=0")=0,"",SUMIFS(D5:F5,D6:F6,"&gt;=0", D6:F6,"&lt;=1")/SUMIFS(D5:F5,D4:F4,"&gt;0")),"")</f>
        <v>1</v>
      </c>
      <c r="C6" s="35" t="s">
        <v>44</v>
      </c>
      <c r="D6" s="65" t="s">
        <v>72</v>
      </c>
      <c r="E6" s="28">
        <f>IFERROR(E5/D5,"")</f>
        <v>1</v>
      </c>
      <c r="F6" s="31" t="s">
        <v>26</v>
      </c>
    </row>
    <row r="7" spans="1:6" ht="45" x14ac:dyDescent="0.25">
      <c r="B7" s="20" t="s">
        <v>68</v>
      </c>
      <c r="C7" s="21" t="s">
        <v>73</v>
      </c>
      <c r="D7" s="29" t="s">
        <v>64</v>
      </c>
      <c r="E7" s="26" t="s">
        <v>33</v>
      </c>
      <c r="F7" s="32" t="s">
        <v>75</v>
      </c>
    </row>
    <row r="8" spans="1:6" x14ac:dyDescent="0.25">
      <c r="B8" s="11">
        <f t="shared" ref="B8:B11" si="0">ROW(B8)-ROW(B$7)</f>
        <v>1</v>
      </c>
      <c r="C8" s="62" t="s">
        <v>45</v>
      </c>
      <c r="D8" s="39" t="s">
        <v>63</v>
      </c>
      <c r="E8" s="27" t="str">
        <f>IFERROR(IF(Tbl_A1_FormulaElementsIntro_ANS[[#This Row],[Formula Element]]="","",IF(EXACT(Tbl_A1_FormulaElementsIntro_ANS[[#This Row],[Formula Element]],Tbl_A1_FormulaElementsIntro_ANS[[#This Row],[Formula Element ANS]]),Rng_Lkp_AnswerStatus_Good,Rng_Lkp_AnswerStatus_Bad)),Rng_Lkp_AnswerStatus_Bad)</f>
        <v>Correct</v>
      </c>
      <c r="F8" s="41" t="s">
        <v>63</v>
      </c>
    </row>
    <row r="9" spans="1:6" x14ac:dyDescent="0.25">
      <c r="B9" s="11">
        <f t="shared" si="0"/>
        <v>2</v>
      </c>
      <c r="C9" s="62" t="s">
        <v>69</v>
      </c>
      <c r="D9" s="40" t="s">
        <v>65</v>
      </c>
      <c r="E9" s="27" t="str">
        <f>IFERROR(IF(Tbl_A1_FormulaElementsIntro_ANS[[#This Row],[Formula Element]]="","",IF(EXACT(Tbl_A1_FormulaElementsIntro_ANS[[#This Row],[Formula Element]],Tbl_A1_FormulaElementsIntro_ANS[[#This Row],[Formula Element ANS]]),Rng_Lkp_AnswerStatus_Good,Rng_Lkp_AnswerStatus_Bad)),Rng_Lkp_AnswerStatus_Bad)</f>
        <v>Correct</v>
      </c>
      <c r="F9" s="41" t="s">
        <v>65</v>
      </c>
    </row>
    <row r="10" spans="1:6" x14ac:dyDescent="0.25">
      <c r="B10" s="11">
        <f t="shared" si="0"/>
        <v>3</v>
      </c>
      <c r="C10" s="62" t="s">
        <v>70</v>
      </c>
      <c r="D10" s="40" t="s">
        <v>66</v>
      </c>
      <c r="E10" s="27" t="str">
        <f>IFERROR(IF(Tbl_A1_FormulaElementsIntro_ANS[[#This Row],[Formula Element]]="","",IF(EXACT(Tbl_A1_FormulaElementsIntro_ANS[[#This Row],[Formula Element]],Tbl_A1_FormulaElementsIntro_ANS[[#This Row],[Formula Element ANS]]),Rng_Lkp_AnswerStatus_Good,Rng_Lkp_AnswerStatus_Bad)),Rng_Lkp_AnswerStatus_Bad)</f>
        <v>Correct</v>
      </c>
      <c r="F10" s="41" t="s">
        <v>66</v>
      </c>
    </row>
    <row r="11" spans="1:6" x14ac:dyDescent="0.25">
      <c r="B11" s="11">
        <f t="shared" si="0"/>
        <v>4</v>
      </c>
      <c r="C11" s="62" t="s">
        <v>71</v>
      </c>
      <c r="D11" s="40" t="s">
        <v>67</v>
      </c>
      <c r="E11" s="27" t="str">
        <f>IFERROR(IF(Tbl_A1_FormulaElementsIntro_ANS[[#This Row],[Formula Element]]="","",IF(EXACT(Tbl_A1_FormulaElementsIntro_ANS[[#This Row],[Formula Element]],Tbl_A1_FormulaElementsIntro_ANS[[#This Row],[Formula Element ANS]]),Rng_Lkp_AnswerStatus_Good,Rng_Lkp_AnswerStatus_Bad)),Rng_Lkp_AnswerStatus_Bad)</f>
        <v>Correct</v>
      </c>
      <c r="F11" s="41" t="s">
        <v>67</v>
      </c>
    </row>
  </sheetData>
  <conditionalFormatting sqref="B8:F11">
    <cfRule type="cellIs" dxfId="350" priority="2" operator="equal">
      <formula>Rng_Lkp_AnswerStatus_Bad</formula>
    </cfRule>
    <cfRule type="cellIs" dxfId="349" priority="3" operator="equal">
      <formula>Rng_Lkp_AnswerStatus_Good</formula>
    </cfRule>
  </conditionalFormatting>
  <conditionalFormatting sqref="B5:B6 E6">
    <cfRule type="colorScale" priority="1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errorTitle="Invalid Entry" error="Please choose one of the options from the dropdown list." sqref="D8:D11" xr:uid="{697C1010-56C3-44C0-B68F-5A74EEF27CD6}">
      <formula1>Rng_Lkp_FormulaElement</formula1>
    </dataValidation>
  </dataValidations>
  <pageMargins left="0.7" right="0.7" top="0.75" bottom="0.75" header="0.3" footer="0.3"/>
  <pageSetup paperSize="121" orientation="portrait" horizontalDpi="300" verticalDpi="30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51CE9-F1A6-4929-B4CA-248AC34DCE09}">
  <sheetPr>
    <tabColor theme="6"/>
  </sheetPr>
  <dimension ref="A1:P15"/>
  <sheetViews>
    <sheetView showGridLines="0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ColWidth="9.140625" defaultRowHeight="15" outlineLevelRow="1" outlineLevelCol="1" x14ac:dyDescent="0.25"/>
  <cols>
    <col min="1" max="1" width="2.5703125" style="10" customWidth="1"/>
    <col min="2" max="2" width="6.140625" style="10" bestFit="1" customWidth="1"/>
    <col min="3" max="3" width="28.5703125" style="10" bestFit="1" customWidth="1"/>
    <col min="4" max="4" width="11" style="10" bestFit="1" customWidth="1"/>
    <col min="5" max="5" width="8.140625" style="10" bestFit="1" customWidth="1"/>
    <col min="6" max="6" width="11.5703125" style="10" hidden="1" customWidth="1" outlineLevel="1"/>
    <col min="7" max="7" width="12.42578125" style="10" bestFit="1" customWidth="1" collapsed="1"/>
    <col min="8" max="8" width="8.140625" style="10" bestFit="1" customWidth="1"/>
    <col min="9" max="9" width="12.42578125" style="10" hidden="1" customWidth="1" outlineLevel="1"/>
    <col min="10" max="10" width="11.85546875" style="10" bestFit="1" customWidth="1" collapsed="1"/>
    <col min="11" max="11" width="8.140625" style="10" bestFit="1" customWidth="1"/>
    <col min="12" max="12" width="11.85546875" style="10" hidden="1" customWidth="1" outlineLevel="1"/>
    <col min="13" max="13" width="11.85546875" style="10" bestFit="1" customWidth="1" collapsed="1"/>
    <col min="14" max="14" width="8.140625" style="10" bestFit="1" customWidth="1"/>
    <col min="15" max="15" width="11.85546875" style="10" hidden="1" customWidth="1" outlineLevel="1"/>
    <col min="16" max="16" width="9.140625" style="10" collapsed="1"/>
    <col min="17" max="16384" width="9.140625" style="10"/>
  </cols>
  <sheetData>
    <row r="1" spans="1:15" s="8" customFormat="1" ht="21" x14ac:dyDescent="0.35">
      <c r="A1" s="75" t="s">
        <v>122</v>
      </c>
      <c r="B1" s="4"/>
    </row>
    <row r="2" spans="1:15" s="8" customFormat="1" ht="18.75" x14ac:dyDescent="0.3">
      <c r="A2" s="76" t="s">
        <v>76</v>
      </c>
      <c r="B2" s="9"/>
    </row>
    <row r="3" spans="1:15" ht="6.95" customHeight="1" x14ac:dyDescent="0.25"/>
    <row r="4" spans="1:15" x14ac:dyDescent="0.25">
      <c r="B4" s="73"/>
      <c r="C4" s="16" t="s">
        <v>137</v>
      </c>
      <c r="D4" s="30">
        <v>1</v>
      </c>
      <c r="E4" s="17"/>
      <c r="F4" s="17"/>
      <c r="G4" s="30">
        <v>2</v>
      </c>
      <c r="H4" s="74"/>
      <c r="I4" s="17"/>
      <c r="J4" s="30">
        <v>3</v>
      </c>
      <c r="K4" s="17"/>
      <c r="L4" s="17"/>
      <c r="M4" s="30">
        <v>4</v>
      </c>
      <c r="N4" s="17"/>
      <c r="O4" s="17"/>
    </row>
    <row r="5" spans="1:15" hidden="1" outlineLevel="1" x14ac:dyDescent="0.25">
      <c r="B5" s="38" t="str">
        <f>IFERROR(IF(SUMIFS(D5:O5,D4:O4,"&gt;=0")=0,"",SUMIFS(D5:O5,D4:O4,"&gt;=0")/SUMIFS(D5:O5,D6:O6,"ANSWER")),"")</f>
        <v/>
      </c>
      <c r="C5" s="35" t="s">
        <v>43</v>
      </c>
      <c r="D5" s="36">
        <f>IFERROR(COUNTA(Tbl_A1_FormulaElements_01[Contains Function(s) Y/N]),"")</f>
        <v>0</v>
      </c>
      <c r="E5" s="37">
        <f>IFERROR(COUNTIF(Tbl_A1_FormulaElements_01[Answer Status Q01],Rng_Lkp_AnswerStatus_Good),"")</f>
        <v>0</v>
      </c>
      <c r="F5" s="37">
        <f>IFERROR(COUNTA(Tbl_A1_FormulaElements_01[Contains Function(s) Y/N ANS]),"")</f>
        <v>8</v>
      </c>
      <c r="G5" s="36">
        <f>IFERROR(COUNTA(Tbl_A1_FormulaElements_01[Contains Reference(s) Y/N]),"")</f>
        <v>0</v>
      </c>
      <c r="H5" s="37">
        <f>IFERROR(COUNTIF(Tbl_A1_FormulaElements_01[Answer Status Q02],Rng_Lkp_AnswerStatus_Good),"")</f>
        <v>0</v>
      </c>
      <c r="I5" s="37">
        <f>IFERROR(COUNTA(Tbl_A1_FormulaElements_01[Contains Reference(s) Y/N ANS]),"")</f>
        <v>8</v>
      </c>
      <c r="J5" s="36">
        <f>IFERROR(COUNTA(Tbl_A1_FormulaElements_01[Contains Operator(s) Y/N]),"")</f>
        <v>0</v>
      </c>
      <c r="K5" s="37">
        <f>IFERROR(COUNTIF(Tbl_A1_FormulaElements_01[Answer Status Q03],Rng_Lkp_AnswerStatus_Good),"")</f>
        <v>0</v>
      </c>
      <c r="L5" s="37">
        <f>IFERROR(COUNTA(Tbl_A1_FormulaElements_01[Contains Operator(s) Y/N ANS]),"")</f>
        <v>8</v>
      </c>
      <c r="M5" s="36">
        <f>IFERROR(COUNTA(Tbl_A1_FormulaElements_01[Contains Constant(s) Y/N]),"")</f>
        <v>0</v>
      </c>
      <c r="N5" s="37">
        <f>IFERROR(COUNTIF(Tbl_A1_FormulaElements_01[Answer Status Q04],Rng_Lkp_AnswerStatus_Good),"")</f>
        <v>0</v>
      </c>
      <c r="O5" s="37">
        <f>IFERROR(COUNTA(Tbl_A1_FormulaElements_01[Contains Constant(s) Y/N ANS]),"")</f>
        <v>8</v>
      </c>
    </row>
    <row r="6" spans="1:15" collapsed="1" x14ac:dyDescent="0.25">
      <c r="B6" s="38" t="str">
        <f>IFERROR(IF(SUMIFS(D5:O5,D4:O4,"&gt;=0")=0,"",SUMIFS(D5:O5,D6:O6,"&gt;=0", D6:O6,"&lt;=1")/SUMIFS(D5:O5,D4:O4,"&gt;0")),"")</f>
        <v/>
      </c>
      <c r="C6" s="35" t="s">
        <v>44</v>
      </c>
      <c r="D6" s="72"/>
      <c r="E6" s="28" t="str">
        <f>IFERROR(E5/D5,"")</f>
        <v/>
      </c>
      <c r="F6" s="55" t="s">
        <v>26</v>
      </c>
      <c r="G6" s="72"/>
      <c r="H6" s="28" t="str">
        <f>IFERROR(H5/G5,"")</f>
        <v/>
      </c>
      <c r="I6" s="55" t="s">
        <v>26</v>
      </c>
      <c r="J6" s="72"/>
      <c r="K6" s="28" t="str">
        <f>IFERROR(K5/J5,"")</f>
        <v/>
      </c>
      <c r="L6" s="55" t="s">
        <v>26</v>
      </c>
      <c r="M6" s="72"/>
      <c r="N6" s="28" t="str">
        <f>IFERROR(N5/M5,"")</f>
        <v/>
      </c>
      <c r="O6" s="55" t="s">
        <v>26</v>
      </c>
    </row>
    <row r="7" spans="1:15" ht="45" x14ac:dyDescent="0.25">
      <c r="B7" s="20" t="s">
        <v>68</v>
      </c>
      <c r="C7" s="21" t="s">
        <v>91</v>
      </c>
      <c r="D7" s="51" t="s">
        <v>77</v>
      </c>
      <c r="E7" s="26" t="s">
        <v>33</v>
      </c>
      <c r="F7" s="53" t="s">
        <v>87</v>
      </c>
      <c r="G7" s="51" t="s">
        <v>78</v>
      </c>
      <c r="H7" s="26" t="s">
        <v>34</v>
      </c>
      <c r="I7" s="53" t="s">
        <v>88</v>
      </c>
      <c r="J7" s="51" t="s">
        <v>79</v>
      </c>
      <c r="K7" s="26" t="s">
        <v>35</v>
      </c>
      <c r="L7" s="53" t="s">
        <v>89</v>
      </c>
      <c r="M7" s="51" t="s">
        <v>80</v>
      </c>
      <c r="N7" s="26" t="s">
        <v>41</v>
      </c>
      <c r="O7" s="53" t="s">
        <v>90</v>
      </c>
    </row>
    <row r="8" spans="1:15" x14ac:dyDescent="0.25">
      <c r="B8" s="11">
        <f t="shared" ref="B8:B15" si="0">ROW(B8)-ROW(B$7)</f>
        <v>1</v>
      </c>
      <c r="C8" s="62" t="s">
        <v>82</v>
      </c>
      <c r="D8" s="68"/>
      <c r="E8" s="27" t="str">
        <f>IFERROR(IF(Tbl_A1_FormulaElements_01[[#This Row],[Contains Function(s) Y/N]]="","",IF(EXACT(Tbl_A1_FormulaElements_01[[#This Row],[Contains Function(s) Y/N]],Tbl_A1_FormulaElements_01[[#This Row],[Contains Function(s) Y/N ANS]]),Rng_Lkp_AnswerStatus_Good,Rng_Lkp_AnswerStatus_Bad)),Rng_Lkp_AnswerStatus_Bad)</f>
        <v/>
      </c>
      <c r="F8" s="70" t="s">
        <v>61</v>
      </c>
      <c r="G8" s="68"/>
      <c r="H8" s="27" t="str">
        <f>IFERROR(IF(Tbl_A1_FormulaElements_01[[#This Row],[Contains Reference(s) Y/N]]="","",IF(EXACT(Tbl_A1_FormulaElements_01[[#This Row],[Contains Reference(s) Y/N]],Tbl_A1_FormulaElements_01[[#This Row],[Contains Reference(s) Y/N ANS]]),Rng_Lkp_AnswerStatus_Good,Rng_Lkp_AnswerStatus_Bad)),Rng_Lkp_AnswerStatus_Bad)</f>
        <v/>
      </c>
      <c r="I8" s="70" t="s">
        <v>61</v>
      </c>
      <c r="J8" s="68"/>
      <c r="K8" s="27" t="str">
        <f>IFERROR(IF(Tbl_A1_FormulaElements_01[[#This Row],[Contains Operator(s) Y/N]]="","",IF(EXACT(Tbl_A1_FormulaElements_01[[#This Row],[Contains Operator(s) Y/N]],Tbl_A1_FormulaElements_01[[#This Row],[Contains Operator(s) Y/N ANS]]),Rng_Lkp_AnswerStatus_Good,Rng_Lkp_AnswerStatus_Bad)),Rng_Lkp_AnswerStatus_Bad)</f>
        <v/>
      </c>
      <c r="L8" s="70" t="s">
        <v>62</v>
      </c>
      <c r="M8" s="68"/>
      <c r="N8" s="27" t="str">
        <f>IFERROR(IF(Tbl_A1_FormulaElements_01[[#This Row],[Contains Constant(s) Y/N]]="","",IF(EXACT(Tbl_A1_FormulaElements_01[[#This Row],[Contains Constant(s) Y/N]],Tbl_A1_FormulaElements_01[[#This Row],[Contains Constant(s) Y/N ANS]]),Rng_Lkp_AnswerStatus_Good,Rng_Lkp_AnswerStatus_Bad)),Rng_Lkp_AnswerStatus_Bad)</f>
        <v/>
      </c>
      <c r="O8" s="70" t="s">
        <v>62</v>
      </c>
    </row>
    <row r="9" spans="1:15" x14ac:dyDescent="0.25">
      <c r="B9" s="11">
        <f t="shared" si="0"/>
        <v>2</v>
      </c>
      <c r="C9" s="62" t="s">
        <v>92</v>
      </c>
      <c r="D9" s="69"/>
      <c r="E9" s="27" t="str">
        <f>IFERROR(IF(Tbl_A1_FormulaElements_01[[#This Row],[Contains Function(s) Y/N]]="","",IF(EXACT(Tbl_A1_FormulaElements_01[[#This Row],[Contains Function(s) Y/N]],Tbl_A1_FormulaElements_01[[#This Row],[Contains Function(s) Y/N ANS]]),Rng_Lkp_AnswerStatus_Good,Rng_Lkp_AnswerStatus_Bad)),Rng_Lkp_AnswerStatus_Bad)</f>
        <v/>
      </c>
      <c r="F9" s="71" t="s">
        <v>61</v>
      </c>
      <c r="G9" s="69"/>
      <c r="H9" s="27" t="str">
        <f>IFERROR(IF(Tbl_A1_FormulaElements_01[[#This Row],[Contains Reference(s) Y/N]]="","",IF(EXACT(Tbl_A1_FormulaElements_01[[#This Row],[Contains Reference(s) Y/N]],Tbl_A1_FormulaElements_01[[#This Row],[Contains Reference(s) Y/N ANS]]),Rng_Lkp_AnswerStatus_Good,Rng_Lkp_AnswerStatus_Bad)),Rng_Lkp_AnswerStatus_Bad)</f>
        <v/>
      </c>
      <c r="I9" s="71" t="s">
        <v>62</v>
      </c>
      <c r="J9" s="69"/>
      <c r="K9" s="27" t="str">
        <f>IFERROR(IF(Tbl_A1_FormulaElements_01[[#This Row],[Contains Operator(s) Y/N]]="","",IF(EXACT(Tbl_A1_FormulaElements_01[[#This Row],[Contains Operator(s) Y/N]],Tbl_A1_FormulaElements_01[[#This Row],[Contains Operator(s) Y/N ANS]]),Rng_Lkp_AnswerStatus_Good,Rng_Lkp_AnswerStatus_Bad)),Rng_Lkp_AnswerStatus_Bad)</f>
        <v/>
      </c>
      <c r="L9" s="71" t="s">
        <v>62</v>
      </c>
      <c r="M9" s="69"/>
      <c r="N9" s="27" t="str">
        <f>IFERROR(IF(Tbl_A1_FormulaElements_01[[#This Row],[Contains Constant(s) Y/N]]="","",IF(EXACT(Tbl_A1_FormulaElements_01[[#This Row],[Contains Constant(s) Y/N]],Tbl_A1_FormulaElements_01[[#This Row],[Contains Constant(s) Y/N ANS]]),Rng_Lkp_AnswerStatus_Good,Rng_Lkp_AnswerStatus_Bad)),Rng_Lkp_AnswerStatus_Bad)</f>
        <v/>
      </c>
      <c r="O9" s="71" t="s">
        <v>61</v>
      </c>
    </row>
    <row r="10" spans="1:15" x14ac:dyDescent="0.25">
      <c r="B10" s="11">
        <f t="shared" si="0"/>
        <v>3</v>
      </c>
      <c r="C10" s="62" t="s">
        <v>93</v>
      </c>
      <c r="D10" s="69"/>
      <c r="E10" s="27" t="str">
        <f>IFERROR(IF(Tbl_A1_FormulaElements_01[[#This Row],[Contains Function(s) Y/N]]="","",IF(EXACT(Tbl_A1_FormulaElements_01[[#This Row],[Contains Function(s) Y/N]],Tbl_A1_FormulaElements_01[[#This Row],[Contains Function(s) Y/N ANS]]),Rng_Lkp_AnswerStatus_Good,Rng_Lkp_AnswerStatus_Bad)),Rng_Lkp_AnswerStatus_Bad)</f>
        <v/>
      </c>
      <c r="F10" s="71" t="s">
        <v>61</v>
      </c>
      <c r="G10" s="69"/>
      <c r="H10" s="27" t="str">
        <f>IFERROR(IF(Tbl_A1_FormulaElements_01[[#This Row],[Contains Reference(s) Y/N]]="","",IF(EXACT(Tbl_A1_FormulaElements_01[[#This Row],[Contains Reference(s) Y/N]],Tbl_A1_FormulaElements_01[[#This Row],[Contains Reference(s) Y/N ANS]]),Rng_Lkp_AnswerStatus_Good,Rng_Lkp_AnswerStatus_Bad)),Rng_Lkp_AnswerStatus_Bad)</f>
        <v/>
      </c>
      <c r="I10" s="71" t="s">
        <v>61</v>
      </c>
      <c r="J10" s="69"/>
      <c r="K10" s="27" t="str">
        <f>IFERROR(IF(Tbl_A1_FormulaElements_01[[#This Row],[Contains Operator(s) Y/N]]="","",IF(EXACT(Tbl_A1_FormulaElements_01[[#This Row],[Contains Operator(s) Y/N]],Tbl_A1_FormulaElements_01[[#This Row],[Contains Operator(s) Y/N ANS]]),Rng_Lkp_AnswerStatus_Good,Rng_Lkp_AnswerStatus_Bad)),Rng_Lkp_AnswerStatus_Bad)</f>
        <v/>
      </c>
      <c r="L10" s="71" t="s">
        <v>61</v>
      </c>
      <c r="M10" s="69"/>
      <c r="N10" s="27" t="str">
        <f>IFERROR(IF(Tbl_A1_FormulaElements_01[[#This Row],[Contains Constant(s) Y/N]]="","",IF(EXACT(Tbl_A1_FormulaElements_01[[#This Row],[Contains Constant(s) Y/N]],Tbl_A1_FormulaElements_01[[#This Row],[Contains Constant(s) Y/N ANS]]),Rng_Lkp_AnswerStatus_Good,Rng_Lkp_AnswerStatus_Bad)),Rng_Lkp_AnswerStatus_Bad)</f>
        <v/>
      </c>
      <c r="O10" s="71" t="s">
        <v>61</v>
      </c>
    </row>
    <row r="11" spans="1:15" x14ac:dyDescent="0.25">
      <c r="B11" s="11">
        <f t="shared" si="0"/>
        <v>4</v>
      </c>
      <c r="C11" s="62" t="s">
        <v>83</v>
      </c>
      <c r="D11" s="69"/>
      <c r="E11" s="27" t="str">
        <f>IFERROR(IF(Tbl_A1_FormulaElements_01[[#This Row],[Contains Function(s) Y/N]]="","",IF(EXACT(Tbl_A1_FormulaElements_01[[#This Row],[Contains Function(s) Y/N]],Tbl_A1_FormulaElements_01[[#This Row],[Contains Function(s) Y/N ANS]]),Rng_Lkp_AnswerStatus_Good,Rng_Lkp_AnswerStatus_Bad)),Rng_Lkp_AnswerStatus_Bad)</f>
        <v/>
      </c>
      <c r="F11" s="71" t="s">
        <v>62</v>
      </c>
      <c r="G11" s="69"/>
      <c r="H11" s="27" t="str">
        <f>IFERROR(IF(Tbl_A1_FormulaElements_01[[#This Row],[Contains Reference(s) Y/N]]="","",IF(EXACT(Tbl_A1_FormulaElements_01[[#This Row],[Contains Reference(s) Y/N]],Tbl_A1_FormulaElements_01[[#This Row],[Contains Reference(s) Y/N ANS]]),Rng_Lkp_AnswerStatus_Good,Rng_Lkp_AnswerStatus_Bad)),Rng_Lkp_AnswerStatus_Bad)</f>
        <v/>
      </c>
      <c r="I11" s="71" t="s">
        <v>61</v>
      </c>
      <c r="J11" s="69"/>
      <c r="K11" s="27" t="str">
        <f>IFERROR(IF(Tbl_A1_FormulaElements_01[[#This Row],[Contains Operator(s) Y/N]]="","",IF(EXACT(Tbl_A1_FormulaElements_01[[#This Row],[Contains Operator(s) Y/N]],Tbl_A1_FormulaElements_01[[#This Row],[Contains Operator(s) Y/N ANS]]),Rng_Lkp_AnswerStatus_Good,Rng_Lkp_AnswerStatus_Bad)),Rng_Lkp_AnswerStatus_Bad)</f>
        <v/>
      </c>
      <c r="L11" s="71" t="s">
        <v>61</v>
      </c>
      <c r="M11" s="69"/>
      <c r="N11" s="27" t="str">
        <f>IFERROR(IF(Tbl_A1_FormulaElements_01[[#This Row],[Contains Constant(s) Y/N]]="","",IF(EXACT(Tbl_A1_FormulaElements_01[[#This Row],[Contains Constant(s) Y/N]],Tbl_A1_FormulaElements_01[[#This Row],[Contains Constant(s) Y/N ANS]]),Rng_Lkp_AnswerStatus_Good,Rng_Lkp_AnswerStatus_Bad)),Rng_Lkp_AnswerStatus_Bad)</f>
        <v/>
      </c>
      <c r="O11" s="71" t="s">
        <v>62</v>
      </c>
    </row>
    <row r="12" spans="1:15" x14ac:dyDescent="0.25">
      <c r="B12" s="11">
        <f t="shared" si="0"/>
        <v>5</v>
      </c>
      <c r="C12" s="62" t="s">
        <v>94</v>
      </c>
      <c r="D12" s="68"/>
      <c r="E12" s="27" t="str">
        <f>IFERROR(IF(Tbl_A1_FormulaElements_01[[#This Row],[Contains Function(s) Y/N]]="","",IF(EXACT(Tbl_A1_FormulaElements_01[[#This Row],[Contains Function(s) Y/N]],Tbl_A1_FormulaElements_01[[#This Row],[Contains Function(s) Y/N ANS]]),Rng_Lkp_AnswerStatus_Good,Rng_Lkp_AnswerStatus_Bad)),Rng_Lkp_AnswerStatus_Bad)</f>
        <v/>
      </c>
      <c r="F12" s="71" t="s">
        <v>61</v>
      </c>
      <c r="G12" s="68"/>
      <c r="H12" s="27" t="str">
        <f>IFERROR(IF(Tbl_A1_FormulaElements_01[[#This Row],[Contains Reference(s) Y/N]]="","",IF(EXACT(Tbl_A1_FormulaElements_01[[#This Row],[Contains Reference(s) Y/N]],Tbl_A1_FormulaElements_01[[#This Row],[Contains Reference(s) Y/N ANS]]),Rng_Lkp_AnswerStatus_Good,Rng_Lkp_AnswerStatus_Bad)),Rng_Lkp_AnswerStatus_Bad)</f>
        <v/>
      </c>
      <c r="I12" s="71" t="s">
        <v>61</v>
      </c>
      <c r="J12" s="68"/>
      <c r="K12" s="27" t="str">
        <f>IFERROR(IF(Tbl_A1_FormulaElements_01[[#This Row],[Contains Operator(s) Y/N]]="","",IF(EXACT(Tbl_A1_FormulaElements_01[[#This Row],[Contains Operator(s) Y/N]],Tbl_A1_FormulaElements_01[[#This Row],[Contains Operator(s) Y/N ANS]]),Rng_Lkp_AnswerStatus_Good,Rng_Lkp_AnswerStatus_Bad)),Rng_Lkp_AnswerStatus_Bad)</f>
        <v/>
      </c>
      <c r="L12" s="71" t="s">
        <v>61</v>
      </c>
      <c r="M12" s="68"/>
      <c r="N12" s="27" t="str">
        <f>IFERROR(IF(Tbl_A1_FormulaElements_01[[#This Row],[Contains Constant(s) Y/N]]="","",IF(EXACT(Tbl_A1_FormulaElements_01[[#This Row],[Contains Constant(s) Y/N]],Tbl_A1_FormulaElements_01[[#This Row],[Contains Constant(s) Y/N ANS]]),Rng_Lkp_AnswerStatus_Good,Rng_Lkp_AnswerStatus_Bad)),Rng_Lkp_AnswerStatus_Bad)</f>
        <v/>
      </c>
      <c r="O12" s="71" t="s">
        <v>61</v>
      </c>
    </row>
    <row r="13" spans="1:15" x14ac:dyDescent="0.25">
      <c r="B13" s="11">
        <f t="shared" si="0"/>
        <v>6</v>
      </c>
      <c r="C13" s="62" t="s">
        <v>84</v>
      </c>
      <c r="D13" s="69"/>
      <c r="E13" s="27" t="str">
        <f>IFERROR(IF(Tbl_A1_FormulaElements_01[[#This Row],[Contains Function(s) Y/N]]="","",IF(EXACT(Tbl_A1_FormulaElements_01[[#This Row],[Contains Function(s) Y/N]],Tbl_A1_FormulaElements_01[[#This Row],[Contains Function(s) Y/N ANS]]),Rng_Lkp_AnswerStatus_Good,Rng_Lkp_AnswerStatus_Bad)),Rng_Lkp_AnswerStatus_Bad)</f>
        <v/>
      </c>
      <c r="F13" s="71" t="s">
        <v>62</v>
      </c>
      <c r="G13" s="69"/>
      <c r="H13" s="27" t="str">
        <f>IFERROR(IF(Tbl_A1_FormulaElements_01[[#This Row],[Contains Reference(s) Y/N]]="","",IF(EXACT(Tbl_A1_FormulaElements_01[[#This Row],[Contains Reference(s) Y/N]],Tbl_A1_FormulaElements_01[[#This Row],[Contains Reference(s) Y/N ANS]]),Rng_Lkp_AnswerStatus_Good,Rng_Lkp_AnswerStatus_Bad)),Rng_Lkp_AnswerStatus_Bad)</f>
        <v/>
      </c>
      <c r="I13" s="71" t="s">
        <v>61</v>
      </c>
      <c r="J13" s="69"/>
      <c r="K13" s="27" t="str">
        <f>IFERROR(IF(Tbl_A1_FormulaElements_01[[#This Row],[Contains Operator(s) Y/N]]="","",IF(EXACT(Tbl_A1_FormulaElements_01[[#This Row],[Contains Operator(s) Y/N]],Tbl_A1_FormulaElements_01[[#This Row],[Contains Operator(s) Y/N ANS]]),Rng_Lkp_AnswerStatus_Good,Rng_Lkp_AnswerStatus_Bad)),Rng_Lkp_AnswerStatus_Bad)</f>
        <v/>
      </c>
      <c r="L13" s="71" t="s">
        <v>61</v>
      </c>
      <c r="M13" s="69"/>
      <c r="N13" s="27" t="str">
        <f>IFERROR(IF(Tbl_A1_FormulaElements_01[[#This Row],[Contains Constant(s) Y/N]]="","",IF(EXACT(Tbl_A1_FormulaElements_01[[#This Row],[Contains Constant(s) Y/N]],Tbl_A1_FormulaElements_01[[#This Row],[Contains Constant(s) Y/N ANS]]),Rng_Lkp_AnswerStatus_Good,Rng_Lkp_AnswerStatus_Bad)),Rng_Lkp_AnswerStatus_Bad)</f>
        <v/>
      </c>
      <c r="O13" s="71" t="s">
        <v>61</v>
      </c>
    </row>
    <row r="14" spans="1:15" x14ac:dyDescent="0.25">
      <c r="B14" s="11">
        <f t="shared" si="0"/>
        <v>7</v>
      </c>
      <c r="C14" s="62" t="s">
        <v>85</v>
      </c>
      <c r="D14" s="69"/>
      <c r="E14" s="27" t="str">
        <f>IFERROR(IF(Tbl_A1_FormulaElements_01[[#This Row],[Contains Function(s) Y/N]]="","",IF(EXACT(Tbl_A1_FormulaElements_01[[#This Row],[Contains Function(s) Y/N]],Tbl_A1_FormulaElements_01[[#This Row],[Contains Function(s) Y/N ANS]]),Rng_Lkp_AnswerStatus_Good,Rng_Lkp_AnswerStatus_Bad)),Rng_Lkp_AnswerStatus_Bad)</f>
        <v/>
      </c>
      <c r="F14" s="71" t="s">
        <v>62</v>
      </c>
      <c r="G14" s="69"/>
      <c r="H14" s="27" t="str">
        <f>IFERROR(IF(Tbl_A1_FormulaElements_01[[#This Row],[Contains Reference(s) Y/N]]="","",IF(EXACT(Tbl_A1_FormulaElements_01[[#This Row],[Contains Reference(s) Y/N]],Tbl_A1_FormulaElements_01[[#This Row],[Contains Reference(s) Y/N ANS]]),Rng_Lkp_AnswerStatus_Good,Rng_Lkp_AnswerStatus_Bad)),Rng_Lkp_AnswerStatus_Bad)</f>
        <v/>
      </c>
      <c r="I14" s="71" t="s">
        <v>61</v>
      </c>
      <c r="J14" s="69"/>
      <c r="K14" s="27" t="str">
        <f>IFERROR(IF(Tbl_A1_FormulaElements_01[[#This Row],[Contains Operator(s) Y/N]]="","",IF(EXACT(Tbl_A1_FormulaElements_01[[#This Row],[Contains Operator(s) Y/N]],Tbl_A1_FormulaElements_01[[#This Row],[Contains Operator(s) Y/N ANS]]),Rng_Lkp_AnswerStatus_Good,Rng_Lkp_AnswerStatus_Bad)),Rng_Lkp_AnswerStatus_Bad)</f>
        <v/>
      </c>
      <c r="L14" s="71" t="s">
        <v>62</v>
      </c>
      <c r="M14" s="69"/>
      <c r="N14" s="27" t="str">
        <f>IFERROR(IF(Tbl_A1_FormulaElements_01[[#This Row],[Contains Constant(s) Y/N]]="","",IF(EXACT(Tbl_A1_FormulaElements_01[[#This Row],[Contains Constant(s) Y/N]],Tbl_A1_FormulaElements_01[[#This Row],[Contains Constant(s) Y/N ANS]]),Rng_Lkp_AnswerStatus_Good,Rng_Lkp_AnswerStatus_Bad)),Rng_Lkp_AnswerStatus_Bad)</f>
        <v/>
      </c>
      <c r="O14" s="71" t="s">
        <v>62</v>
      </c>
    </row>
    <row r="15" spans="1:15" x14ac:dyDescent="0.25">
      <c r="B15" s="11">
        <f t="shared" si="0"/>
        <v>8</v>
      </c>
      <c r="C15" s="62" t="s">
        <v>86</v>
      </c>
      <c r="D15" s="69"/>
      <c r="E15" s="27" t="str">
        <f>IFERROR(IF(Tbl_A1_FormulaElements_01[[#This Row],[Contains Function(s) Y/N]]="","",IF(EXACT(Tbl_A1_FormulaElements_01[[#This Row],[Contains Function(s) Y/N]],Tbl_A1_FormulaElements_01[[#This Row],[Contains Function(s) Y/N ANS]]),Rng_Lkp_AnswerStatus_Good,Rng_Lkp_AnswerStatus_Bad)),Rng_Lkp_AnswerStatus_Bad)</f>
        <v/>
      </c>
      <c r="F15" s="71" t="s">
        <v>62</v>
      </c>
      <c r="G15" s="69"/>
      <c r="H15" s="27" t="str">
        <f>IFERROR(IF(Tbl_A1_FormulaElements_01[[#This Row],[Contains Reference(s) Y/N]]="","",IF(EXACT(Tbl_A1_FormulaElements_01[[#This Row],[Contains Reference(s) Y/N]],Tbl_A1_FormulaElements_01[[#This Row],[Contains Reference(s) Y/N ANS]]),Rng_Lkp_AnswerStatus_Good,Rng_Lkp_AnswerStatus_Bad)),Rng_Lkp_AnswerStatus_Bad)</f>
        <v/>
      </c>
      <c r="I15" s="71" t="s">
        <v>62</v>
      </c>
      <c r="J15" s="69"/>
      <c r="K15" s="27" t="str">
        <f>IFERROR(IF(Tbl_A1_FormulaElements_01[[#This Row],[Contains Operator(s) Y/N]]="","",IF(EXACT(Tbl_A1_FormulaElements_01[[#This Row],[Contains Operator(s) Y/N]],Tbl_A1_FormulaElements_01[[#This Row],[Contains Operator(s) Y/N ANS]]),Rng_Lkp_AnswerStatus_Good,Rng_Lkp_AnswerStatus_Bad)),Rng_Lkp_AnswerStatus_Bad)</f>
        <v/>
      </c>
      <c r="L15" s="71" t="s">
        <v>62</v>
      </c>
      <c r="M15" s="69"/>
      <c r="N15" s="27" t="str">
        <f>IFERROR(IF(Tbl_A1_FormulaElements_01[[#This Row],[Contains Constant(s) Y/N]]="","",IF(EXACT(Tbl_A1_FormulaElements_01[[#This Row],[Contains Constant(s) Y/N]],Tbl_A1_FormulaElements_01[[#This Row],[Contains Constant(s) Y/N ANS]]),Rng_Lkp_AnswerStatus_Good,Rng_Lkp_AnswerStatus_Bad)),Rng_Lkp_AnswerStatus_Bad)</f>
        <v/>
      </c>
      <c r="O15" s="71" t="s">
        <v>61</v>
      </c>
    </row>
  </sheetData>
  <conditionalFormatting sqref="B8:F15">
    <cfRule type="cellIs" dxfId="337" priority="2" operator="equal">
      <formula>Rng_Lkp_AnswerStatus_Bad</formula>
    </cfRule>
  </conditionalFormatting>
  <conditionalFormatting sqref="B5:B6 E6 H6 K6 N6">
    <cfRule type="colorScale" priority="1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B8:O15">
    <cfRule type="cellIs" dxfId="336" priority="3" operator="equal">
      <formula>Rng_Lkp_AnswerStatus_Good</formula>
    </cfRule>
  </conditionalFormatting>
  <dataValidations count="1">
    <dataValidation type="list" allowBlank="1" showInputMessage="1" showErrorMessage="1" errorTitle="Invalid Entry" error="Please choose one of the options from the dropdown list." sqref="D8:D15 G8:G15 J8:J15 M8:M15" xr:uid="{36C295D1-2895-455A-8754-98DC9529F8CC}">
      <formula1>Rng_Lkp_YN</formula1>
    </dataValidation>
  </dataValidations>
  <pageMargins left="0.7" right="0.7" top="0.75" bottom="0.75" header="0.3" footer="0.3"/>
  <pageSetup paperSize="121" orientation="portrait" horizontalDpi="300" verticalDpi="300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51082-1A3C-47C2-B26C-842E92A620DA}">
  <sheetPr>
    <tabColor theme="6"/>
  </sheetPr>
  <dimension ref="A1:P15"/>
  <sheetViews>
    <sheetView showGridLines="0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ColWidth="9.140625" defaultRowHeight="15" outlineLevelRow="1" outlineLevelCol="1" x14ac:dyDescent="0.25"/>
  <cols>
    <col min="1" max="1" width="2.5703125" style="10" customWidth="1"/>
    <col min="2" max="2" width="6.140625" style="10" bestFit="1" customWidth="1"/>
    <col min="3" max="3" width="28.5703125" style="10" bestFit="1" customWidth="1"/>
    <col min="4" max="4" width="11" style="10" bestFit="1" customWidth="1"/>
    <col min="5" max="5" width="8.140625" style="10" bestFit="1" customWidth="1"/>
    <col min="6" max="6" width="11.5703125" style="10" hidden="1" customWidth="1" outlineLevel="1"/>
    <col min="7" max="7" width="12.42578125" style="10" bestFit="1" customWidth="1" collapsed="1"/>
    <col min="8" max="8" width="8.140625" style="10" bestFit="1" customWidth="1"/>
    <col min="9" max="9" width="12.42578125" style="10" hidden="1" customWidth="1" outlineLevel="1"/>
    <col min="10" max="10" width="11.85546875" style="10" bestFit="1" customWidth="1" collapsed="1"/>
    <col min="11" max="11" width="8.140625" style="10" bestFit="1" customWidth="1"/>
    <col min="12" max="12" width="11.85546875" style="10" hidden="1" customWidth="1" outlineLevel="1"/>
    <col min="13" max="13" width="11.85546875" style="10" bestFit="1" customWidth="1" collapsed="1"/>
    <col min="14" max="14" width="8.140625" style="10" bestFit="1" customWidth="1"/>
    <col min="15" max="15" width="11.85546875" style="10" hidden="1" customWidth="1" outlineLevel="1"/>
    <col min="16" max="16" width="9.140625" style="10" collapsed="1"/>
    <col min="17" max="16384" width="9.140625" style="10"/>
  </cols>
  <sheetData>
    <row r="1" spans="1:15" s="8" customFormat="1" ht="21" x14ac:dyDescent="0.35">
      <c r="A1" s="75" t="s">
        <v>122</v>
      </c>
      <c r="B1" s="4"/>
    </row>
    <row r="2" spans="1:15" s="8" customFormat="1" ht="18.75" x14ac:dyDescent="0.3">
      <c r="A2" s="76" t="s">
        <v>76</v>
      </c>
      <c r="B2" s="9"/>
    </row>
    <row r="3" spans="1:15" ht="6.95" customHeight="1" x14ac:dyDescent="0.25"/>
    <row r="4" spans="1:15" x14ac:dyDescent="0.25">
      <c r="B4" s="73"/>
      <c r="C4" s="16" t="s">
        <v>137</v>
      </c>
      <c r="D4" s="30">
        <v>1</v>
      </c>
      <c r="E4" s="17"/>
      <c r="F4" s="17"/>
      <c r="G4" s="30">
        <v>2</v>
      </c>
      <c r="H4" s="74"/>
      <c r="I4" s="17"/>
      <c r="J4" s="30">
        <v>3</v>
      </c>
      <c r="K4" s="17"/>
      <c r="L4" s="17"/>
      <c r="M4" s="30">
        <v>4</v>
      </c>
      <c r="N4" s="17"/>
      <c r="O4" s="17"/>
    </row>
    <row r="5" spans="1:15" hidden="1" outlineLevel="1" x14ac:dyDescent="0.25">
      <c r="B5" s="38">
        <f>IFERROR(IF(SUMIFS(D5:O5,D4:O4,"&gt;=0")=0,"",SUMIFS(D5:O5,D4:O4,"&gt;=0")/SUMIFS(D5:O5,D6:O6,"ANSWER")),"")</f>
        <v>1</v>
      </c>
      <c r="C5" s="35" t="s">
        <v>43</v>
      </c>
      <c r="D5" s="36">
        <f>IFERROR(COUNTA(Tbl_A1_FormulaElements_ANS[Contains Function(s) Y/N]),"")</f>
        <v>8</v>
      </c>
      <c r="E5" s="37">
        <f>IFERROR(COUNTIF(Tbl_A1_FormulaElements_ANS[Answer Status Q01],Rng_Lkp_AnswerStatus_Good),"")</f>
        <v>8</v>
      </c>
      <c r="F5" s="37">
        <f>IFERROR(COUNTA(Tbl_A1_FormulaElements_ANS[Contains Function(s) Y/N ANS]),"")</f>
        <v>8</v>
      </c>
      <c r="G5" s="36">
        <f>IFERROR(COUNTA(Tbl_A1_FormulaElements_ANS[Contains Reference(s) Y/N]),"")</f>
        <v>8</v>
      </c>
      <c r="H5" s="37">
        <f>IFERROR(COUNTIF(Tbl_A1_FormulaElements_ANS[Answer Status Q02],Rng_Lkp_AnswerStatus_Good),"")</f>
        <v>8</v>
      </c>
      <c r="I5" s="37">
        <f>IFERROR(COUNTA(Tbl_A1_FormulaElements_ANS[Contains Reference(s) Y/N ANS]),"")</f>
        <v>8</v>
      </c>
      <c r="J5" s="36">
        <f>IFERROR(COUNTA(Tbl_A1_FormulaElements_ANS[Contains Operator(s) Y/N]),"")</f>
        <v>8</v>
      </c>
      <c r="K5" s="37">
        <f>IFERROR(COUNTIF(Tbl_A1_FormulaElements_ANS[Answer Status Q03],Rng_Lkp_AnswerStatus_Good),"")</f>
        <v>8</v>
      </c>
      <c r="L5" s="37">
        <f>IFERROR(COUNTA(Tbl_A1_FormulaElements_ANS[Contains Operator(s) Y/N ANS]),"")</f>
        <v>8</v>
      </c>
      <c r="M5" s="36">
        <f>IFERROR(COUNTA(Tbl_A1_FormulaElements_ANS[Contains Constant(s) Y/N]),"")</f>
        <v>8</v>
      </c>
      <c r="N5" s="37">
        <f>IFERROR(COUNTIF(Tbl_A1_FormulaElements_ANS[Answer Status Q04],Rng_Lkp_AnswerStatus_Good),"")</f>
        <v>8</v>
      </c>
      <c r="O5" s="37">
        <f>IFERROR(COUNTA(Tbl_A1_FormulaElements_ANS[Contains Constant(s) Y/N ANS]),"")</f>
        <v>8</v>
      </c>
    </row>
    <row r="6" spans="1:15" collapsed="1" x14ac:dyDescent="0.25">
      <c r="B6" s="38">
        <f>IFERROR(IF(SUMIFS(D5:O5,D4:O4,"&gt;=0")=0,"",SUMIFS(D5:O5,D6:O6,"&gt;=0", D6:O6,"&lt;=1")/SUMIFS(D5:O5,D4:O4,"&gt;0")),"")</f>
        <v>1</v>
      </c>
      <c r="C6" s="35" t="s">
        <v>44</v>
      </c>
      <c r="D6" s="72"/>
      <c r="E6" s="28">
        <f>IFERROR(E5/D5,"")</f>
        <v>1</v>
      </c>
      <c r="F6" s="55" t="s">
        <v>26</v>
      </c>
      <c r="G6" s="72"/>
      <c r="H6" s="28">
        <f>IFERROR(H5/G5,"")</f>
        <v>1</v>
      </c>
      <c r="I6" s="55" t="s">
        <v>26</v>
      </c>
      <c r="J6" s="72"/>
      <c r="K6" s="28">
        <f>IFERROR(K5/J5,"")</f>
        <v>1</v>
      </c>
      <c r="L6" s="55" t="s">
        <v>26</v>
      </c>
      <c r="M6" s="72"/>
      <c r="N6" s="28">
        <f>IFERROR(N5/M5,"")</f>
        <v>1</v>
      </c>
      <c r="O6" s="55" t="s">
        <v>26</v>
      </c>
    </row>
    <row r="7" spans="1:15" ht="45" x14ac:dyDescent="0.25">
      <c r="B7" s="20" t="s">
        <v>68</v>
      </c>
      <c r="C7" s="21" t="s">
        <v>91</v>
      </c>
      <c r="D7" s="51" t="s">
        <v>77</v>
      </c>
      <c r="E7" s="26" t="s">
        <v>33</v>
      </c>
      <c r="F7" s="53" t="s">
        <v>87</v>
      </c>
      <c r="G7" s="51" t="s">
        <v>78</v>
      </c>
      <c r="H7" s="26" t="s">
        <v>34</v>
      </c>
      <c r="I7" s="53" t="s">
        <v>88</v>
      </c>
      <c r="J7" s="51" t="s">
        <v>79</v>
      </c>
      <c r="K7" s="26" t="s">
        <v>35</v>
      </c>
      <c r="L7" s="53" t="s">
        <v>89</v>
      </c>
      <c r="M7" s="51" t="s">
        <v>80</v>
      </c>
      <c r="N7" s="26" t="s">
        <v>41</v>
      </c>
      <c r="O7" s="53" t="s">
        <v>90</v>
      </c>
    </row>
    <row r="8" spans="1:15" x14ac:dyDescent="0.25">
      <c r="B8" s="11">
        <f t="shared" ref="B8:B15" si="0">ROW(B8)-ROW(B$7)</f>
        <v>1</v>
      </c>
      <c r="C8" s="62" t="s">
        <v>82</v>
      </c>
      <c r="D8" s="68" t="s">
        <v>61</v>
      </c>
      <c r="E8" s="27" t="str">
        <f>IFERROR(IF(Tbl_A1_FormulaElements_ANS[[#This Row],[Contains Function(s) Y/N]]="","",IF(EXACT(Tbl_A1_FormulaElements_ANS[[#This Row],[Contains Function(s) Y/N]],Tbl_A1_FormulaElements_ANS[[#This Row],[Contains Function(s) Y/N ANS]]),Rng_Lkp_AnswerStatus_Good,Rng_Lkp_AnswerStatus_Bad)),Rng_Lkp_AnswerStatus_Bad)</f>
        <v>Correct</v>
      </c>
      <c r="F8" s="70" t="s">
        <v>61</v>
      </c>
      <c r="G8" s="68" t="s">
        <v>61</v>
      </c>
      <c r="H8" s="27" t="str">
        <f>IFERROR(IF(Tbl_A1_FormulaElements_ANS[[#This Row],[Contains Reference(s) Y/N]]="","",IF(EXACT(Tbl_A1_FormulaElements_ANS[[#This Row],[Contains Reference(s) Y/N]],Tbl_A1_FormulaElements_ANS[[#This Row],[Contains Reference(s) Y/N ANS]]),Rng_Lkp_AnswerStatus_Good,Rng_Lkp_AnswerStatus_Bad)),Rng_Lkp_AnswerStatus_Bad)</f>
        <v>Correct</v>
      </c>
      <c r="I8" s="70" t="s">
        <v>61</v>
      </c>
      <c r="J8" s="68" t="s">
        <v>62</v>
      </c>
      <c r="K8" s="27" t="str">
        <f>IFERROR(IF(Tbl_A1_FormulaElements_ANS[[#This Row],[Contains Operator(s) Y/N]]="","",IF(EXACT(Tbl_A1_FormulaElements_ANS[[#This Row],[Contains Operator(s) Y/N]],Tbl_A1_FormulaElements_ANS[[#This Row],[Contains Operator(s) Y/N ANS]]),Rng_Lkp_AnswerStatus_Good,Rng_Lkp_AnswerStatus_Bad)),Rng_Lkp_AnswerStatus_Bad)</f>
        <v>Correct</v>
      </c>
      <c r="L8" s="70" t="s">
        <v>62</v>
      </c>
      <c r="M8" s="68" t="s">
        <v>62</v>
      </c>
      <c r="N8" s="27" t="str">
        <f>IFERROR(IF(Tbl_A1_FormulaElements_ANS[[#This Row],[Contains Constant(s) Y/N]]="","",IF(EXACT(Tbl_A1_FormulaElements_ANS[[#This Row],[Contains Constant(s) Y/N]],Tbl_A1_FormulaElements_ANS[[#This Row],[Contains Constant(s) Y/N ANS]]),Rng_Lkp_AnswerStatus_Good,Rng_Lkp_AnswerStatus_Bad)),Rng_Lkp_AnswerStatus_Bad)</f>
        <v>Correct</v>
      </c>
      <c r="O8" s="70" t="s">
        <v>62</v>
      </c>
    </row>
    <row r="9" spans="1:15" x14ac:dyDescent="0.25">
      <c r="B9" s="11">
        <f t="shared" si="0"/>
        <v>2</v>
      </c>
      <c r="C9" s="62" t="s">
        <v>92</v>
      </c>
      <c r="D9" s="69" t="s">
        <v>61</v>
      </c>
      <c r="E9" s="27" t="str">
        <f>IFERROR(IF(Tbl_A1_FormulaElements_ANS[[#This Row],[Contains Function(s) Y/N]]="","",IF(EXACT(Tbl_A1_FormulaElements_ANS[[#This Row],[Contains Function(s) Y/N]],Tbl_A1_FormulaElements_ANS[[#This Row],[Contains Function(s) Y/N ANS]]),Rng_Lkp_AnswerStatus_Good,Rng_Lkp_AnswerStatus_Bad)),Rng_Lkp_AnswerStatus_Bad)</f>
        <v>Correct</v>
      </c>
      <c r="F9" s="71" t="s">
        <v>61</v>
      </c>
      <c r="G9" s="69" t="s">
        <v>62</v>
      </c>
      <c r="H9" s="27" t="str">
        <f>IFERROR(IF(Tbl_A1_FormulaElements_ANS[[#This Row],[Contains Reference(s) Y/N]]="","",IF(EXACT(Tbl_A1_FormulaElements_ANS[[#This Row],[Contains Reference(s) Y/N]],Tbl_A1_FormulaElements_ANS[[#This Row],[Contains Reference(s) Y/N ANS]]),Rng_Lkp_AnswerStatus_Good,Rng_Lkp_AnswerStatus_Bad)),Rng_Lkp_AnswerStatus_Bad)</f>
        <v>Correct</v>
      </c>
      <c r="I9" s="71" t="s">
        <v>62</v>
      </c>
      <c r="J9" s="69" t="s">
        <v>62</v>
      </c>
      <c r="K9" s="27" t="str">
        <f>IFERROR(IF(Tbl_A1_FormulaElements_ANS[[#This Row],[Contains Operator(s) Y/N]]="","",IF(EXACT(Tbl_A1_FormulaElements_ANS[[#This Row],[Contains Operator(s) Y/N]],Tbl_A1_FormulaElements_ANS[[#This Row],[Contains Operator(s) Y/N ANS]]),Rng_Lkp_AnswerStatus_Good,Rng_Lkp_AnswerStatus_Bad)),Rng_Lkp_AnswerStatus_Bad)</f>
        <v>Correct</v>
      </c>
      <c r="L9" s="71" t="s">
        <v>62</v>
      </c>
      <c r="M9" s="69" t="s">
        <v>61</v>
      </c>
      <c r="N9" s="27" t="str">
        <f>IFERROR(IF(Tbl_A1_FormulaElements_ANS[[#This Row],[Contains Constant(s) Y/N]]="","",IF(EXACT(Tbl_A1_FormulaElements_ANS[[#This Row],[Contains Constant(s) Y/N]],Tbl_A1_FormulaElements_ANS[[#This Row],[Contains Constant(s) Y/N ANS]]),Rng_Lkp_AnswerStatus_Good,Rng_Lkp_AnswerStatus_Bad)),Rng_Lkp_AnswerStatus_Bad)</f>
        <v>Correct</v>
      </c>
      <c r="O9" s="71" t="s">
        <v>61</v>
      </c>
    </row>
    <row r="10" spans="1:15" x14ac:dyDescent="0.25">
      <c r="B10" s="11">
        <f t="shared" si="0"/>
        <v>3</v>
      </c>
      <c r="C10" s="62" t="s">
        <v>93</v>
      </c>
      <c r="D10" s="69" t="s">
        <v>61</v>
      </c>
      <c r="E10" s="27" t="str">
        <f>IFERROR(IF(Tbl_A1_FormulaElements_ANS[[#This Row],[Contains Function(s) Y/N]]="","",IF(EXACT(Tbl_A1_FormulaElements_ANS[[#This Row],[Contains Function(s) Y/N]],Tbl_A1_FormulaElements_ANS[[#This Row],[Contains Function(s) Y/N ANS]]),Rng_Lkp_AnswerStatus_Good,Rng_Lkp_AnswerStatus_Bad)),Rng_Lkp_AnswerStatus_Bad)</f>
        <v>Correct</v>
      </c>
      <c r="F10" s="71" t="s">
        <v>61</v>
      </c>
      <c r="G10" s="69" t="s">
        <v>61</v>
      </c>
      <c r="H10" s="27" t="str">
        <f>IFERROR(IF(Tbl_A1_FormulaElements_ANS[[#This Row],[Contains Reference(s) Y/N]]="","",IF(EXACT(Tbl_A1_FormulaElements_ANS[[#This Row],[Contains Reference(s) Y/N]],Tbl_A1_FormulaElements_ANS[[#This Row],[Contains Reference(s) Y/N ANS]]),Rng_Lkp_AnswerStatus_Good,Rng_Lkp_AnswerStatus_Bad)),Rng_Lkp_AnswerStatus_Bad)</f>
        <v>Correct</v>
      </c>
      <c r="I10" s="71" t="s">
        <v>61</v>
      </c>
      <c r="J10" s="69" t="s">
        <v>61</v>
      </c>
      <c r="K10" s="27" t="str">
        <f>IFERROR(IF(Tbl_A1_FormulaElements_ANS[[#This Row],[Contains Operator(s) Y/N]]="","",IF(EXACT(Tbl_A1_FormulaElements_ANS[[#This Row],[Contains Operator(s) Y/N]],Tbl_A1_FormulaElements_ANS[[#This Row],[Contains Operator(s) Y/N ANS]]),Rng_Lkp_AnswerStatus_Good,Rng_Lkp_AnswerStatus_Bad)),Rng_Lkp_AnswerStatus_Bad)</f>
        <v>Correct</v>
      </c>
      <c r="L10" s="71" t="s">
        <v>61</v>
      </c>
      <c r="M10" s="69" t="s">
        <v>61</v>
      </c>
      <c r="N10" s="27" t="str">
        <f>IFERROR(IF(Tbl_A1_FormulaElements_ANS[[#This Row],[Contains Constant(s) Y/N]]="","",IF(EXACT(Tbl_A1_FormulaElements_ANS[[#This Row],[Contains Constant(s) Y/N]],Tbl_A1_FormulaElements_ANS[[#This Row],[Contains Constant(s) Y/N ANS]]),Rng_Lkp_AnswerStatus_Good,Rng_Lkp_AnswerStatus_Bad)),Rng_Lkp_AnswerStatus_Bad)</f>
        <v>Correct</v>
      </c>
      <c r="O10" s="71" t="s">
        <v>61</v>
      </c>
    </row>
    <row r="11" spans="1:15" x14ac:dyDescent="0.25">
      <c r="B11" s="11">
        <f t="shared" si="0"/>
        <v>4</v>
      </c>
      <c r="C11" s="62" t="s">
        <v>83</v>
      </c>
      <c r="D11" s="69" t="s">
        <v>62</v>
      </c>
      <c r="E11" s="27" t="str">
        <f>IFERROR(IF(Tbl_A1_FormulaElements_ANS[[#This Row],[Contains Function(s) Y/N]]="","",IF(EXACT(Tbl_A1_FormulaElements_ANS[[#This Row],[Contains Function(s) Y/N]],Tbl_A1_FormulaElements_ANS[[#This Row],[Contains Function(s) Y/N ANS]]),Rng_Lkp_AnswerStatus_Good,Rng_Lkp_AnswerStatus_Bad)),Rng_Lkp_AnswerStatus_Bad)</f>
        <v>Correct</v>
      </c>
      <c r="F11" s="71" t="s">
        <v>62</v>
      </c>
      <c r="G11" s="69" t="s">
        <v>61</v>
      </c>
      <c r="H11" s="27" t="str">
        <f>IFERROR(IF(Tbl_A1_FormulaElements_ANS[[#This Row],[Contains Reference(s) Y/N]]="","",IF(EXACT(Tbl_A1_FormulaElements_ANS[[#This Row],[Contains Reference(s) Y/N]],Tbl_A1_FormulaElements_ANS[[#This Row],[Contains Reference(s) Y/N ANS]]),Rng_Lkp_AnswerStatus_Good,Rng_Lkp_AnswerStatus_Bad)),Rng_Lkp_AnswerStatus_Bad)</f>
        <v>Correct</v>
      </c>
      <c r="I11" s="71" t="s">
        <v>61</v>
      </c>
      <c r="J11" s="69" t="s">
        <v>61</v>
      </c>
      <c r="K11" s="27" t="str">
        <f>IFERROR(IF(Tbl_A1_FormulaElements_ANS[[#This Row],[Contains Operator(s) Y/N]]="","",IF(EXACT(Tbl_A1_FormulaElements_ANS[[#This Row],[Contains Operator(s) Y/N]],Tbl_A1_FormulaElements_ANS[[#This Row],[Contains Operator(s) Y/N ANS]]),Rng_Lkp_AnswerStatus_Good,Rng_Lkp_AnswerStatus_Bad)),Rng_Lkp_AnswerStatus_Bad)</f>
        <v>Correct</v>
      </c>
      <c r="L11" s="71" t="s">
        <v>61</v>
      </c>
      <c r="M11" s="69" t="s">
        <v>62</v>
      </c>
      <c r="N11" s="27" t="str">
        <f>IFERROR(IF(Tbl_A1_FormulaElements_ANS[[#This Row],[Contains Constant(s) Y/N]]="","",IF(EXACT(Tbl_A1_FormulaElements_ANS[[#This Row],[Contains Constant(s) Y/N]],Tbl_A1_FormulaElements_ANS[[#This Row],[Contains Constant(s) Y/N ANS]]),Rng_Lkp_AnswerStatus_Good,Rng_Lkp_AnswerStatus_Bad)),Rng_Lkp_AnswerStatus_Bad)</f>
        <v>Correct</v>
      </c>
      <c r="O11" s="71" t="s">
        <v>62</v>
      </c>
    </row>
    <row r="12" spans="1:15" x14ac:dyDescent="0.25">
      <c r="B12" s="11">
        <f t="shared" si="0"/>
        <v>5</v>
      </c>
      <c r="C12" s="62" t="s">
        <v>94</v>
      </c>
      <c r="D12" s="68" t="s">
        <v>61</v>
      </c>
      <c r="E12" s="27" t="str">
        <f>IFERROR(IF(Tbl_A1_FormulaElements_ANS[[#This Row],[Contains Function(s) Y/N]]="","",IF(EXACT(Tbl_A1_FormulaElements_ANS[[#This Row],[Contains Function(s) Y/N]],Tbl_A1_FormulaElements_ANS[[#This Row],[Contains Function(s) Y/N ANS]]),Rng_Lkp_AnswerStatus_Good,Rng_Lkp_AnswerStatus_Bad)),Rng_Lkp_AnswerStatus_Bad)</f>
        <v>Correct</v>
      </c>
      <c r="F12" s="71" t="s">
        <v>61</v>
      </c>
      <c r="G12" s="68" t="s">
        <v>61</v>
      </c>
      <c r="H12" s="27" t="str">
        <f>IFERROR(IF(Tbl_A1_FormulaElements_ANS[[#This Row],[Contains Reference(s) Y/N]]="","",IF(EXACT(Tbl_A1_FormulaElements_ANS[[#This Row],[Contains Reference(s) Y/N]],Tbl_A1_FormulaElements_ANS[[#This Row],[Contains Reference(s) Y/N ANS]]),Rng_Lkp_AnswerStatus_Good,Rng_Lkp_AnswerStatus_Bad)),Rng_Lkp_AnswerStatus_Bad)</f>
        <v>Correct</v>
      </c>
      <c r="I12" s="71" t="s">
        <v>61</v>
      </c>
      <c r="J12" s="68" t="s">
        <v>61</v>
      </c>
      <c r="K12" s="27" t="str">
        <f>IFERROR(IF(Tbl_A1_FormulaElements_ANS[[#This Row],[Contains Operator(s) Y/N]]="","",IF(EXACT(Tbl_A1_FormulaElements_ANS[[#This Row],[Contains Operator(s) Y/N]],Tbl_A1_FormulaElements_ANS[[#This Row],[Contains Operator(s) Y/N ANS]]),Rng_Lkp_AnswerStatus_Good,Rng_Lkp_AnswerStatus_Bad)),Rng_Lkp_AnswerStatus_Bad)</f>
        <v>Correct</v>
      </c>
      <c r="L12" s="71" t="s">
        <v>61</v>
      </c>
      <c r="M12" s="68" t="s">
        <v>61</v>
      </c>
      <c r="N12" s="27" t="str">
        <f>IFERROR(IF(Tbl_A1_FormulaElements_ANS[[#This Row],[Contains Constant(s) Y/N]]="","",IF(EXACT(Tbl_A1_FormulaElements_ANS[[#This Row],[Contains Constant(s) Y/N]],Tbl_A1_FormulaElements_ANS[[#This Row],[Contains Constant(s) Y/N ANS]]),Rng_Lkp_AnswerStatus_Good,Rng_Lkp_AnswerStatus_Bad)),Rng_Lkp_AnswerStatus_Bad)</f>
        <v>Correct</v>
      </c>
      <c r="O12" s="71" t="s">
        <v>61</v>
      </c>
    </row>
    <row r="13" spans="1:15" x14ac:dyDescent="0.25">
      <c r="B13" s="11">
        <f t="shared" si="0"/>
        <v>6</v>
      </c>
      <c r="C13" s="62" t="s">
        <v>84</v>
      </c>
      <c r="D13" s="69" t="s">
        <v>62</v>
      </c>
      <c r="E13" s="27" t="str">
        <f>IFERROR(IF(Tbl_A1_FormulaElements_ANS[[#This Row],[Contains Function(s) Y/N]]="","",IF(EXACT(Tbl_A1_FormulaElements_ANS[[#This Row],[Contains Function(s) Y/N]],Tbl_A1_FormulaElements_ANS[[#This Row],[Contains Function(s) Y/N ANS]]),Rng_Lkp_AnswerStatus_Good,Rng_Lkp_AnswerStatus_Bad)),Rng_Lkp_AnswerStatus_Bad)</f>
        <v>Correct</v>
      </c>
      <c r="F13" s="71" t="s">
        <v>62</v>
      </c>
      <c r="G13" s="69" t="s">
        <v>61</v>
      </c>
      <c r="H13" s="27" t="str">
        <f>IFERROR(IF(Tbl_A1_FormulaElements_ANS[[#This Row],[Contains Reference(s) Y/N]]="","",IF(EXACT(Tbl_A1_FormulaElements_ANS[[#This Row],[Contains Reference(s) Y/N]],Tbl_A1_FormulaElements_ANS[[#This Row],[Contains Reference(s) Y/N ANS]]),Rng_Lkp_AnswerStatus_Good,Rng_Lkp_AnswerStatus_Bad)),Rng_Lkp_AnswerStatus_Bad)</f>
        <v>Correct</v>
      </c>
      <c r="I13" s="71" t="s">
        <v>61</v>
      </c>
      <c r="J13" s="69" t="s">
        <v>61</v>
      </c>
      <c r="K13" s="27" t="str">
        <f>IFERROR(IF(Tbl_A1_FormulaElements_ANS[[#This Row],[Contains Operator(s) Y/N]]="","",IF(EXACT(Tbl_A1_FormulaElements_ANS[[#This Row],[Contains Operator(s) Y/N]],Tbl_A1_FormulaElements_ANS[[#This Row],[Contains Operator(s) Y/N ANS]]),Rng_Lkp_AnswerStatus_Good,Rng_Lkp_AnswerStatus_Bad)),Rng_Lkp_AnswerStatus_Bad)</f>
        <v>Correct</v>
      </c>
      <c r="L13" s="71" t="s">
        <v>61</v>
      </c>
      <c r="M13" s="69" t="s">
        <v>61</v>
      </c>
      <c r="N13" s="27" t="str">
        <f>IFERROR(IF(Tbl_A1_FormulaElements_ANS[[#This Row],[Contains Constant(s) Y/N]]="","",IF(EXACT(Tbl_A1_FormulaElements_ANS[[#This Row],[Contains Constant(s) Y/N]],Tbl_A1_FormulaElements_ANS[[#This Row],[Contains Constant(s) Y/N ANS]]),Rng_Lkp_AnswerStatus_Good,Rng_Lkp_AnswerStatus_Bad)),Rng_Lkp_AnswerStatus_Bad)</f>
        <v>Correct</v>
      </c>
      <c r="O13" s="71" t="s">
        <v>61</v>
      </c>
    </row>
    <row r="14" spans="1:15" x14ac:dyDescent="0.25">
      <c r="B14" s="11">
        <f t="shared" si="0"/>
        <v>7</v>
      </c>
      <c r="C14" s="62" t="s">
        <v>85</v>
      </c>
      <c r="D14" s="69" t="s">
        <v>62</v>
      </c>
      <c r="E14" s="27" t="str">
        <f>IFERROR(IF(Tbl_A1_FormulaElements_ANS[[#This Row],[Contains Function(s) Y/N]]="","",IF(EXACT(Tbl_A1_FormulaElements_ANS[[#This Row],[Contains Function(s) Y/N]],Tbl_A1_FormulaElements_ANS[[#This Row],[Contains Function(s) Y/N ANS]]),Rng_Lkp_AnswerStatus_Good,Rng_Lkp_AnswerStatus_Bad)),Rng_Lkp_AnswerStatus_Bad)</f>
        <v>Correct</v>
      </c>
      <c r="F14" s="71" t="s">
        <v>62</v>
      </c>
      <c r="G14" s="69" t="s">
        <v>61</v>
      </c>
      <c r="H14" s="27" t="str">
        <f>IFERROR(IF(Tbl_A1_FormulaElements_ANS[[#This Row],[Contains Reference(s) Y/N]]="","",IF(EXACT(Tbl_A1_FormulaElements_ANS[[#This Row],[Contains Reference(s) Y/N]],Tbl_A1_FormulaElements_ANS[[#This Row],[Contains Reference(s) Y/N ANS]]),Rng_Lkp_AnswerStatus_Good,Rng_Lkp_AnswerStatus_Bad)),Rng_Lkp_AnswerStatus_Bad)</f>
        <v>Correct</v>
      </c>
      <c r="I14" s="71" t="s">
        <v>61</v>
      </c>
      <c r="J14" s="69" t="s">
        <v>62</v>
      </c>
      <c r="K14" s="27" t="str">
        <f>IFERROR(IF(Tbl_A1_FormulaElements_ANS[[#This Row],[Contains Operator(s) Y/N]]="","",IF(EXACT(Tbl_A1_FormulaElements_ANS[[#This Row],[Contains Operator(s) Y/N]],Tbl_A1_FormulaElements_ANS[[#This Row],[Contains Operator(s) Y/N ANS]]),Rng_Lkp_AnswerStatus_Good,Rng_Lkp_AnswerStatus_Bad)),Rng_Lkp_AnswerStatus_Bad)</f>
        <v>Correct</v>
      </c>
      <c r="L14" s="71" t="s">
        <v>62</v>
      </c>
      <c r="M14" s="69" t="s">
        <v>62</v>
      </c>
      <c r="N14" s="27" t="str">
        <f>IFERROR(IF(Tbl_A1_FormulaElements_ANS[[#This Row],[Contains Constant(s) Y/N]]="","",IF(EXACT(Tbl_A1_FormulaElements_ANS[[#This Row],[Contains Constant(s) Y/N]],Tbl_A1_FormulaElements_ANS[[#This Row],[Contains Constant(s) Y/N ANS]]),Rng_Lkp_AnswerStatus_Good,Rng_Lkp_AnswerStatus_Bad)),Rng_Lkp_AnswerStatus_Bad)</f>
        <v>Correct</v>
      </c>
      <c r="O14" s="71" t="s">
        <v>62</v>
      </c>
    </row>
    <row r="15" spans="1:15" x14ac:dyDescent="0.25">
      <c r="B15" s="11">
        <f t="shared" si="0"/>
        <v>8</v>
      </c>
      <c r="C15" s="62" t="s">
        <v>86</v>
      </c>
      <c r="D15" s="69" t="s">
        <v>62</v>
      </c>
      <c r="E15" s="27" t="str">
        <f>IFERROR(IF(Tbl_A1_FormulaElements_ANS[[#This Row],[Contains Function(s) Y/N]]="","",IF(EXACT(Tbl_A1_FormulaElements_ANS[[#This Row],[Contains Function(s) Y/N]],Tbl_A1_FormulaElements_ANS[[#This Row],[Contains Function(s) Y/N ANS]]),Rng_Lkp_AnswerStatus_Good,Rng_Lkp_AnswerStatus_Bad)),Rng_Lkp_AnswerStatus_Bad)</f>
        <v>Correct</v>
      </c>
      <c r="F15" s="71" t="s">
        <v>62</v>
      </c>
      <c r="G15" s="69" t="s">
        <v>62</v>
      </c>
      <c r="H15" s="27" t="str">
        <f>IFERROR(IF(Tbl_A1_FormulaElements_ANS[[#This Row],[Contains Reference(s) Y/N]]="","",IF(EXACT(Tbl_A1_FormulaElements_ANS[[#This Row],[Contains Reference(s) Y/N]],Tbl_A1_FormulaElements_ANS[[#This Row],[Contains Reference(s) Y/N ANS]]),Rng_Lkp_AnswerStatus_Good,Rng_Lkp_AnswerStatus_Bad)),Rng_Lkp_AnswerStatus_Bad)</f>
        <v>Correct</v>
      </c>
      <c r="I15" s="71" t="s">
        <v>62</v>
      </c>
      <c r="J15" s="69" t="s">
        <v>62</v>
      </c>
      <c r="K15" s="27" t="str">
        <f>IFERROR(IF(Tbl_A1_FormulaElements_ANS[[#This Row],[Contains Operator(s) Y/N]]="","",IF(EXACT(Tbl_A1_FormulaElements_ANS[[#This Row],[Contains Operator(s) Y/N]],Tbl_A1_FormulaElements_ANS[[#This Row],[Contains Operator(s) Y/N ANS]]),Rng_Lkp_AnswerStatus_Good,Rng_Lkp_AnswerStatus_Bad)),Rng_Lkp_AnswerStatus_Bad)</f>
        <v>Correct</v>
      </c>
      <c r="L15" s="71" t="s">
        <v>62</v>
      </c>
      <c r="M15" s="69" t="s">
        <v>61</v>
      </c>
      <c r="N15" s="27" t="str">
        <f>IFERROR(IF(Tbl_A1_FormulaElements_ANS[[#This Row],[Contains Constant(s) Y/N]]="","",IF(EXACT(Tbl_A1_FormulaElements_ANS[[#This Row],[Contains Constant(s) Y/N]],Tbl_A1_FormulaElements_ANS[[#This Row],[Contains Constant(s) Y/N ANS]]),Rng_Lkp_AnswerStatus_Good,Rng_Lkp_AnswerStatus_Bad)),Rng_Lkp_AnswerStatus_Bad)</f>
        <v>Correct</v>
      </c>
      <c r="O15" s="71" t="s">
        <v>61</v>
      </c>
    </row>
  </sheetData>
  <phoneticPr fontId="27" type="noConversion"/>
  <conditionalFormatting sqref="B8:F15">
    <cfRule type="cellIs" dxfId="306" priority="19" operator="equal">
      <formula>Rng_Lkp_AnswerStatus_Bad</formula>
    </cfRule>
  </conditionalFormatting>
  <conditionalFormatting sqref="B5:B6 E6 H6 K6 N6">
    <cfRule type="colorScale" priority="18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B8:O15">
    <cfRule type="cellIs" dxfId="305" priority="20" operator="equal">
      <formula>Rng_Lkp_AnswerStatus_Good</formula>
    </cfRule>
  </conditionalFormatting>
  <dataValidations count="1">
    <dataValidation type="list" allowBlank="1" showInputMessage="1" showErrorMessage="1" errorTitle="Invalid Entry" error="Please choose one of the options from the dropdown list." sqref="D8:D15 G8:G15 J8:J15 M8:M15" xr:uid="{410F94C7-878A-4648-9F10-98B4A1368527}">
      <formula1>Rng_Lkp_YN</formula1>
    </dataValidation>
  </dataValidations>
  <pageMargins left="0.7" right="0.7" top="0.75" bottom="0.75" header="0.3" footer="0.3"/>
  <pageSetup paperSize="121" orientation="portrait" horizontalDpi="300" verticalDpi="300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03EDF-5A19-401D-8102-DCE41E5B2018}">
  <sheetPr>
    <tabColor theme="7"/>
  </sheetPr>
  <dimension ref="A1:X27"/>
  <sheetViews>
    <sheetView showGridLines="0" zoomScaleNormal="10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F8" sqref="F8"/>
    </sheetView>
  </sheetViews>
  <sheetFormatPr defaultColWidth="9.140625" defaultRowHeight="15" outlineLevelRow="1" outlineLevelCol="1" x14ac:dyDescent="0.25"/>
  <cols>
    <col min="1" max="1" width="2.5703125" style="10" customWidth="1"/>
    <col min="2" max="2" width="8.140625" style="10" bestFit="1" customWidth="1"/>
    <col min="3" max="3" width="13.85546875" style="10" bestFit="1" customWidth="1"/>
    <col min="4" max="5" width="8.7109375" style="10" bestFit="1" customWidth="1"/>
    <col min="6" max="6" width="12.140625" style="10" bestFit="1" customWidth="1"/>
    <col min="7" max="7" width="8.140625" style="10" bestFit="1" customWidth="1"/>
    <col min="8" max="8" width="10.28515625" style="10" hidden="1" customWidth="1" outlineLevel="1"/>
    <col min="9" max="9" width="12.7109375" style="10" bestFit="1" customWidth="1" collapsed="1"/>
    <col min="10" max="10" width="8.140625" style="10" bestFit="1" customWidth="1"/>
    <col min="11" max="11" width="13.42578125" style="10" hidden="1" customWidth="1" outlineLevel="1"/>
    <col min="12" max="12" width="10.7109375" style="10" customWidth="1" collapsed="1"/>
    <col min="13" max="13" width="8.140625" style="10" bestFit="1" customWidth="1"/>
    <col min="14" max="14" width="13.85546875" style="10" hidden="1" customWidth="1" outlineLevel="1"/>
    <col min="15" max="15" width="7.7109375" style="10" customWidth="1" collapsed="1"/>
    <col min="16" max="16" width="8.140625" style="10" bestFit="1" customWidth="1"/>
    <col min="17" max="17" width="8.85546875" style="10" hidden="1" customWidth="1" outlineLevel="1"/>
    <col min="18" max="18" width="8.7109375" style="10" customWidth="1" collapsed="1"/>
    <col min="19" max="19" width="8.140625" style="10" bestFit="1" customWidth="1"/>
    <col min="20" max="20" width="9.7109375" style="10" hidden="1" customWidth="1" outlineLevel="1"/>
    <col min="21" max="21" width="22.7109375" style="10" bestFit="1" customWidth="1" collapsed="1"/>
    <col min="22" max="22" width="8.140625" style="10" bestFit="1" customWidth="1"/>
    <col min="23" max="23" width="23.42578125" style="10" hidden="1" customWidth="1" outlineLevel="1"/>
    <col min="24" max="24" width="9.140625" style="10" collapsed="1"/>
    <col min="25" max="16384" width="9.140625" style="10"/>
  </cols>
  <sheetData>
    <row r="1" spans="1:23" s="8" customFormat="1" ht="21" x14ac:dyDescent="0.35">
      <c r="A1" s="93" t="s">
        <v>124</v>
      </c>
      <c r="B1" s="4"/>
    </row>
    <row r="2" spans="1:23" s="8" customFormat="1" ht="18.75" x14ac:dyDescent="0.3">
      <c r="A2" s="94" t="s">
        <v>11</v>
      </c>
      <c r="B2" s="9"/>
    </row>
    <row r="3" spans="1:23" ht="6.95" customHeight="1" x14ac:dyDescent="0.25"/>
    <row r="4" spans="1:23" x14ac:dyDescent="0.25">
      <c r="E4" s="16" t="s">
        <v>137</v>
      </c>
      <c r="F4" s="30">
        <v>1</v>
      </c>
      <c r="G4" s="17"/>
      <c r="H4" s="17"/>
      <c r="I4" s="30">
        <v>2</v>
      </c>
      <c r="J4" s="17"/>
      <c r="K4" s="17"/>
      <c r="L4" s="30">
        <v>3</v>
      </c>
      <c r="M4" s="17"/>
      <c r="N4" s="17"/>
      <c r="O4" s="30">
        <v>4</v>
      </c>
      <c r="P4" s="17"/>
      <c r="Q4" s="17"/>
      <c r="R4" s="30">
        <v>5</v>
      </c>
      <c r="S4" s="17"/>
      <c r="T4" s="17"/>
      <c r="U4" s="30">
        <v>6</v>
      </c>
      <c r="V4" s="17"/>
      <c r="W4" s="17"/>
    </row>
    <row r="5" spans="1:23" hidden="1" outlineLevel="1" x14ac:dyDescent="0.25">
      <c r="B5" s="38" t="str">
        <f>IFERROR(IF(SUMIFS(F5:T5,F4:T4,"&gt;=0")=0,"",SUMIFS(F5:T5,F4:T4,"&gt;=0")/SUMIFS(F5:T5,F6:T6,"ANSWER")),"")</f>
        <v/>
      </c>
      <c r="C5" s="35" t="s">
        <v>43</v>
      </c>
      <c r="D5" s="16"/>
      <c r="E5" s="16"/>
      <c r="F5" s="36">
        <f>IFERROR(COUNTA(Tbl_A2_Syntax_01[% Change (Y2 - Y1) / Y1]),"")</f>
        <v>0</v>
      </c>
      <c r="G5" s="37">
        <f>IFERROR(COUNTIF(Tbl_A2_Syntax_01[Answer Status Q01],Rng_Lkp_AnswerStatus_Good),"")</f>
        <v>0</v>
      </c>
      <c r="H5" s="37">
        <f>IFERROR(COUNTA(Tbl_A2_Syntax_01[% Change (Y2 - Y1) / Y1 ANS]),"")</f>
        <v>20</v>
      </c>
      <c r="I5" s="36">
        <f>IFERROR(COUNTA(Tbl_A2_Syntax_01[Member Dues Y1^2]),"")</f>
        <v>0</v>
      </c>
      <c r="J5" s="37">
        <f>IFERROR(COUNTIF(Tbl_A2_Syntax_01[Answer Status Q02],Rng_Lkp_AnswerStatus_Good),"")</f>
        <v>0</v>
      </c>
      <c r="K5" s="37">
        <f>IFERROR(COUNTA(Tbl_A2_Syntax_01[Membership Dues Y1^2 ANS]),"")</f>
        <v>20</v>
      </c>
      <c r="L5" s="36">
        <f>IFERROR(COUNTA(Tbl_A2_Syntax_01[Is Y1 Less Than or Equal to Y2]),"")</f>
        <v>0</v>
      </c>
      <c r="M5" s="37">
        <f>IFERROR(COUNTIF(Tbl_A2_Syntax_01[Answer Status Q03],Rng_Lkp_AnswerStatus_Good),"")</f>
        <v>0</v>
      </c>
      <c r="N5" s="37">
        <f>IFERROR(COUNTA(Tbl_A2_Syntax_01[Is Y1 Less Than or Equal to Y2 ANS]),"")</f>
        <v>20</v>
      </c>
      <c r="O5" s="36">
        <f>IFERROR(COUNTA(Tbl_A2_Syntax_01[Is Y1 Equal to Y2]),"")</f>
        <v>0</v>
      </c>
      <c r="P5" s="37">
        <f>IFERROR(COUNTIF(Tbl_A2_Syntax_01[Answer Status Q04],Rng_Lkp_AnswerStatus_Good),"")</f>
        <v>0</v>
      </c>
      <c r="Q5" s="37">
        <f>IFERROR(COUNTA(Tbl_A2_Syntax_01[Is Y1 Equal to Y2 ANS]),"")</f>
        <v>20</v>
      </c>
      <c r="R5" s="36">
        <f>IFERROR(COUNTA(Tbl_A2_Syntax_01[Is Y1 Not Equal to Y2]),"")</f>
        <v>0</v>
      </c>
      <c r="S5" s="37">
        <f>IFERROR(COUNTIF(Tbl_A2_Syntax_01[Answer Status Q05],Rng_Lkp_AnswerStatus_Good),"")</f>
        <v>0</v>
      </c>
      <c r="T5" s="37">
        <f>IFERROR(COUNTA(Tbl_A2_Syntax_01[Is Y1 Not Equal to Y2 ANS]),"")</f>
        <v>20</v>
      </c>
      <c r="U5" s="36">
        <f>IFERROR(COUNTA(Tbl_A2_Syntax_01[Account ID: Full Name]),"")</f>
        <v>0</v>
      </c>
      <c r="V5" s="37">
        <f>IFERROR(COUNTIF(Tbl_A2_Syntax_01[Answer Status Q06],Rng_Lkp_AnswerStatus_Good),"")</f>
        <v>0</v>
      </c>
      <c r="W5" s="37">
        <f>IFERROR(COUNTA(Tbl_A2_Syntax_01[Account ID: Full Name ANS]),"")</f>
        <v>20</v>
      </c>
    </row>
    <row r="6" spans="1:23" collapsed="1" x14ac:dyDescent="0.25">
      <c r="B6" s="38" t="str">
        <f>IFERROR(IF(SUMIFS(F5:T5,F4:T4,"&gt;=0")=0,"",SUMIFS(F5:T5,F6:T6,"&gt;=0", F6:T6,"&lt;=1")/SUMIFS(F5:T5,F4:T4,"&gt;0")),"")</f>
        <v/>
      </c>
      <c r="C6" s="35" t="s">
        <v>44</v>
      </c>
      <c r="F6" s="79" t="s">
        <v>96</v>
      </c>
      <c r="G6" s="28" t="str">
        <f>IFERROR(G5/F5,"")</f>
        <v/>
      </c>
      <c r="H6" s="18" t="s">
        <v>26</v>
      </c>
      <c r="I6" s="22" t="s">
        <v>97</v>
      </c>
      <c r="J6" s="28" t="str">
        <f>IFERROR(J5/I5,"")</f>
        <v/>
      </c>
      <c r="K6" s="18" t="s">
        <v>26</v>
      </c>
      <c r="L6" s="22" t="s">
        <v>100</v>
      </c>
      <c r="M6" s="28" t="str">
        <f>IFERROR(M5/L5,"")</f>
        <v/>
      </c>
      <c r="N6" s="55" t="s">
        <v>26</v>
      </c>
      <c r="O6" s="79" t="s">
        <v>104</v>
      </c>
      <c r="P6" s="28" t="str">
        <f>IFERROR(P5/O5,"")</f>
        <v/>
      </c>
      <c r="Q6" s="55" t="s">
        <v>26</v>
      </c>
      <c r="R6" s="22" t="s">
        <v>107</v>
      </c>
      <c r="S6" s="28" t="str">
        <f>IFERROR(S5/R5,"")</f>
        <v/>
      </c>
      <c r="T6" s="55" t="s">
        <v>26</v>
      </c>
      <c r="U6" s="22" t="s">
        <v>108</v>
      </c>
      <c r="V6" s="28" t="str">
        <f>IFERROR(V5/U5,"")</f>
        <v/>
      </c>
      <c r="W6" s="31" t="s">
        <v>26</v>
      </c>
    </row>
    <row r="7" spans="1:23" ht="45" x14ac:dyDescent="0.25">
      <c r="B7" s="20" t="s">
        <v>10</v>
      </c>
      <c r="C7" s="21" t="s">
        <v>12</v>
      </c>
      <c r="D7" s="44" t="s">
        <v>125</v>
      </c>
      <c r="E7" s="44" t="s">
        <v>126</v>
      </c>
      <c r="F7" s="23" t="s">
        <v>95</v>
      </c>
      <c r="G7" s="26" t="s">
        <v>33</v>
      </c>
      <c r="H7" s="24" t="s">
        <v>98</v>
      </c>
      <c r="I7" s="23" t="s">
        <v>127</v>
      </c>
      <c r="J7" s="26" t="s">
        <v>34</v>
      </c>
      <c r="K7" s="24" t="s">
        <v>99</v>
      </c>
      <c r="L7" s="51" t="s">
        <v>101</v>
      </c>
      <c r="M7" s="26" t="s">
        <v>35</v>
      </c>
      <c r="N7" s="53" t="s">
        <v>102</v>
      </c>
      <c r="O7" s="51" t="s">
        <v>103</v>
      </c>
      <c r="P7" s="26" t="s">
        <v>41</v>
      </c>
      <c r="Q7" s="53" t="s">
        <v>105</v>
      </c>
      <c r="R7" s="56" t="s">
        <v>106</v>
      </c>
      <c r="S7" s="47" t="s">
        <v>46</v>
      </c>
      <c r="T7" s="57" t="s">
        <v>109</v>
      </c>
      <c r="U7" s="82" t="s">
        <v>110</v>
      </c>
      <c r="V7" s="47" t="s">
        <v>47</v>
      </c>
      <c r="W7" s="84" t="s">
        <v>121</v>
      </c>
    </row>
    <row r="8" spans="1:23" x14ac:dyDescent="0.25">
      <c r="B8" s="11">
        <v>4405</v>
      </c>
      <c r="C8" s="12" t="s">
        <v>143</v>
      </c>
      <c r="D8" s="86">
        <v>1000</v>
      </c>
      <c r="E8" s="86">
        <v>1100</v>
      </c>
      <c r="F8" s="77"/>
      <c r="G8" s="27" t="str">
        <f>IFERROR(IF(Tbl_A2_Syntax_01[[#This Row],[% Change (Y2 - Y1) / Y1]]="","",IF(AND(_xlfn.ISFORMULA(Tbl_A2_Syntax_01[[#This Row],[% Change (Y2 - Y1) / Y1]]),EXACT(Tbl_A2_Syntax_01[[#This Row],[% Change (Y2 - Y1) / Y1]],Tbl_A2_Syntax_01[[#This Row],[% Change (Y2 - Y1) / Y1 ANS]])),Rng_Lkp_AnswerStatus_Good,Rng_Lkp_AnswerStatus_Bad)),Rng_Lkp_AnswerStatus_Bad)</f>
        <v/>
      </c>
      <c r="H8" s="45">
        <v>0.1</v>
      </c>
      <c r="I8" s="42"/>
      <c r="J8" s="27" t="str">
        <f>IFERROR(IF(Tbl_A2_Syntax_01[[#This Row],[Member Dues Y1^2]]="","",IF(AND(_xlfn.ISFORMULA(Tbl_A2_Syntax_01[[#This Row],[Member Dues Y1^2]]),EXACT(Tbl_A2_Syntax_01[[#This Row],[Member Dues Y1^2]],Tbl_A2_Syntax_01[[#This Row],[Membership Dues Y1^2 ANS]])),Rng_Lkp_AnswerStatus_Good,Rng_Lkp_AnswerStatus_Bad)),Rng_Lkp_AnswerStatus_Bad)</f>
        <v/>
      </c>
      <c r="K8" s="46">
        <v>1000000</v>
      </c>
      <c r="L8" s="80"/>
      <c r="M8" s="27" t="str">
        <f>IFERROR(IF(Tbl_A2_Syntax_01[[#This Row],[Is Y1 Less Than or Equal to Y2]]="","",IF(AND(_xlfn.ISFORMULA(Tbl_A2_Syntax_01[[#This Row],[Is Y1 Less Than or Equal to Y2]]),EXACT(Tbl_A2_Syntax_01[[#This Row],[Is Y1 Less Than or Equal to Y2]],Tbl_A2_Syntax_01[[#This Row],[Is Y1 Less Than or Equal to Y2 ANS]])),Rng_Lkp_AnswerStatus_Good,Rng_Lkp_AnswerStatus_Bad)),Rng_Lkp_AnswerStatus_Bad)</f>
        <v/>
      </c>
      <c r="N8" s="25" t="b">
        <v>1</v>
      </c>
      <c r="O8" s="80"/>
      <c r="P8" s="27" t="str">
        <f>IFERROR(IF(Tbl_A2_Syntax_01[[#This Row],[Is Y1 Equal to Y2]]="","",IF(AND(_xlfn.ISFORMULA(Tbl_A2_Syntax_01[[#This Row],[Is Y1 Equal to Y2]]),EXACT(Tbl_A2_Syntax_01[[#This Row],[Is Y1 Equal to Y2]],Tbl_A2_Syntax_01[[#This Row],[Is Y1 Equal to Y2 ANS]])),Rng_Lkp_AnswerStatus_Good,Rng_Lkp_AnswerStatus_Bad)),Rng_Lkp_AnswerStatus_Bad)</f>
        <v/>
      </c>
      <c r="Q8" s="81" t="b">
        <v>0</v>
      </c>
      <c r="R8" s="80"/>
      <c r="S8" s="27" t="str">
        <f>IFERROR(IF(Tbl_A2_Syntax_01[[#This Row],[Is Y1 Not Equal to Y2]]="","",IF(AND(_xlfn.ISFORMULA(Tbl_A2_Syntax_01[[#This Row],[Is Y1 Not Equal to Y2]]),EXACT(Tbl_A2_Syntax_01[[#This Row],[Is Y1 Not Equal to Y2]],Tbl_A2_Syntax_01[[#This Row],[Is Y1 Not Equal to Y2 ANS]])),Rng_Lkp_AnswerStatus_Good,Rng_Lkp_AnswerStatus_Bad)),Rng_Lkp_AnswerStatus_Bad)</f>
        <v/>
      </c>
      <c r="T8" s="81" t="b">
        <v>1</v>
      </c>
      <c r="U8" s="83"/>
      <c r="V8" s="27" t="str">
        <f>IFERROR(IF(Tbl_A2_Syntax_01[[#This Row],[Account ID: Full Name]]="","",IF(AND(_xlfn.ISFORMULA(Tbl_A2_Syntax_01[[#This Row],[Account ID: Full Name]]),EXACT(Tbl_A2_Syntax_01[[#This Row],[Account ID: Full Name]],Tbl_A2_Syntax_01[[#This Row],[Account ID: Full Name ANS]])),Rng_Lkp_AnswerStatus_Good,Rng_Lkp_AnswerStatus_Bad)),Rng_Lkp_AnswerStatus_Bad)</f>
        <v/>
      </c>
      <c r="W8" s="85" t="s">
        <v>149</v>
      </c>
    </row>
    <row r="9" spans="1:23" x14ac:dyDescent="0.25">
      <c r="B9" s="11">
        <v>1030</v>
      </c>
      <c r="C9" s="12" t="s">
        <v>13</v>
      </c>
      <c r="D9" s="86">
        <v>750</v>
      </c>
      <c r="E9" s="86">
        <v>800</v>
      </c>
      <c r="F9" s="78"/>
      <c r="G9" s="27" t="str">
        <f>IFERROR(IF(Tbl_A2_Syntax_01[[#This Row],[% Change (Y2 - Y1) / Y1]]="","",IF(AND(_xlfn.ISFORMULA(Tbl_A2_Syntax_01[[#This Row],[% Change (Y2 - Y1) / Y1]]),EXACT(Tbl_A2_Syntax_01[[#This Row],[% Change (Y2 - Y1) / Y1]],Tbl_A2_Syntax_01[[#This Row],[% Change (Y2 - Y1) / Y1 ANS]])),Rng_Lkp_AnswerStatus_Good,Rng_Lkp_AnswerStatus_Bad)),Rng_Lkp_AnswerStatus_Bad)</f>
        <v/>
      </c>
      <c r="H9" s="45">
        <v>6.6666666666666666E-2</v>
      </c>
      <c r="I9" s="43"/>
      <c r="J9" s="27" t="str">
        <f>IFERROR(IF(Tbl_A2_Syntax_01[[#This Row],[Member Dues Y1^2]]="","",IF(AND(_xlfn.ISFORMULA(Tbl_A2_Syntax_01[[#This Row],[Member Dues Y1^2]]),EXACT(Tbl_A2_Syntax_01[[#This Row],[Member Dues Y1^2]],Tbl_A2_Syntax_01[[#This Row],[Membership Dues Y1^2 ANS]])),Rng_Lkp_AnswerStatus_Good,Rng_Lkp_AnswerStatus_Bad)),Rng_Lkp_AnswerStatus_Bad)</f>
        <v/>
      </c>
      <c r="K9" s="46">
        <v>562500</v>
      </c>
      <c r="L9" s="80"/>
      <c r="M9" s="27" t="str">
        <f>IFERROR(IF(Tbl_A2_Syntax_01[[#This Row],[Is Y1 Less Than or Equal to Y2]]="","",IF(AND(_xlfn.ISFORMULA(Tbl_A2_Syntax_01[[#This Row],[Is Y1 Less Than or Equal to Y2]]),EXACT(Tbl_A2_Syntax_01[[#This Row],[Is Y1 Less Than or Equal to Y2]],Tbl_A2_Syntax_01[[#This Row],[Is Y1 Less Than or Equal to Y2 ANS]])),Rng_Lkp_AnswerStatus_Good,Rng_Lkp_AnswerStatus_Bad)),Rng_Lkp_AnswerStatus_Bad)</f>
        <v/>
      </c>
      <c r="N9" s="25" t="b">
        <v>1</v>
      </c>
      <c r="O9" s="80"/>
      <c r="P9" s="27" t="str">
        <f>IFERROR(IF(Tbl_A2_Syntax_01[[#This Row],[Is Y1 Equal to Y2]]="","",IF(AND(_xlfn.ISFORMULA(Tbl_A2_Syntax_01[[#This Row],[Is Y1 Equal to Y2]]),EXACT(Tbl_A2_Syntax_01[[#This Row],[Is Y1 Equal to Y2]],Tbl_A2_Syntax_01[[#This Row],[Is Y1 Equal to Y2 ANS]])),Rng_Lkp_AnswerStatus_Good,Rng_Lkp_AnswerStatus_Bad)),Rng_Lkp_AnswerStatus_Bad)</f>
        <v/>
      </c>
      <c r="Q9" s="81" t="b">
        <v>0</v>
      </c>
      <c r="R9" s="80"/>
      <c r="S9" s="48" t="str">
        <f>IFERROR(IF(Tbl_A2_Syntax_01[[#This Row],[Is Y1 Not Equal to Y2]]="","",IF(AND(_xlfn.ISFORMULA(Tbl_A2_Syntax_01[[#This Row],[Is Y1 Not Equal to Y2]]),EXACT(Tbl_A2_Syntax_01[[#This Row],[Is Y1 Not Equal to Y2]],Tbl_A2_Syntax_01[[#This Row],[Is Y1 Not Equal to Y2 ANS]])),Rng_Lkp_AnswerStatus_Good,Rng_Lkp_AnswerStatus_Bad)),Rng_Lkp_AnswerStatus_Bad)</f>
        <v/>
      </c>
      <c r="T9" s="81" t="b">
        <v>1</v>
      </c>
      <c r="U9" s="83"/>
      <c r="V9" s="48" t="str">
        <f>IFERROR(IF(Tbl_A2_Syntax_01[[#This Row],[Account ID: Full Name]]="","",IF(AND(_xlfn.ISFORMULA(Tbl_A2_Syntax_01[[#This Row],[Account ID: Full Name]]),EXACT(Tbl_A2_Syntax_01[[#This Row],[Account ID: Full Name]],Tbl_A2_Syntax_01[[#This Row],[Account ID: Full Name ANS]])),Rng_Lkp_AnswerStatus_Good,Rng_Lkp_AnswerStatus_Bad)),Rng_Lkp_AnswerStatus_Bad)</f>
        <v/>
      </c>
      <c r="W9" s="85" t="s">
        <v>111</v>
      </c>
    </row>
    <row r="10" spans="1:23" x14ac:dyDescent="0.25">
      <c r="B10" s="11">
        <v>1603</v>
      </c>
      <c r="C10" s="12" t="s">
        <v>142</v>
      </c>
      <c r="D10" s="86">
        <v>750</v>
      </c>
      <c r="E10" s="86">
        <v>800</v>
      </c>
      <c r="F10" s="78"/>
      <c r="G10" s="27" t="str">
        <f>IFERROR(IF(Tbl_A2_Syntax_01[[#This Row],[% Change (Y2 - Y1) / Y1]]="","",IF(AND(_xlfn.ISFORMULA(Tbl_A2_Syntax_01[[#This Row],[% Change (Y2 - Y1) / Y1]]),EXACT(Tbl_A2_Syntax_01[[#This Row],[% Change (Y2 - Y1) / Y1]],Tbl_A2_Syntax_01[[#This Row],[% Change (Y2 - Y1) / Y1 ANS]])),Rng_Lkp_AnswerStatus_Good,Rng_Lkp_AnswerStatus_Bad)),Rng_Lkp_AnswerStatus_Bad)</f>
        <v/>
      </c>
      <c r="H10" s="45">
        <v>6.6666666666666666E-2</v>
      </c>
      <c r="I10" s="43"/>
      <c r="J10" s="27" t="str">
        <f>IFERROR(IF(Tbl_A2_Syntax_01[[#This Row],[Member Dues Y1^2]]="","",IF(AND(_xlfn.ISFORMULA(Tbl_A2_Syntax_01[[#This Row],[Member Dues Y1^2]]),EXACT(Tbl_A2_Syntax_01[[#This Row],[Member Dues Y1^2]],Tbl_A2_Syntax_01[[#This Row],[Membership Dues Y1^2 ANS]])),Rng_Lkp_AnswerStatus_Good,Rng_Lkp_AnswerStatus_Bad)),Rng_Lkp_AnswerStatus_Bad)</f>
        <v/>
      </c>
      <c r="K10" s="46">
        <v>562500</v>
      </c>
      <c r="L10" s="80"/>
      <c r="M10" s="27" t="str">
        <f>IFERROR(IF(Tbl_A2_Syntax_01[[#This Row],[Is Y1 Less Than or Equal to Y2]]="","",IF(AND(_xlfn.ISFORMULA(Tbl_A2_Syntax_01[[#This Row],[Is Y1 Less Than or Equal to Y2]]),EXACT(Tbl_A2_Syntax_01[[#This Row],[Is Y1 Less Than or Equal to Y2]],Tbl_A2_Syntax_01[[#This Row],[Is Y1 Less Than or Equal to Y2 ANS]])),Rng_Lkp_AnswerStatus_Good,Rng_Lkp_AnswerStatus_Bad)),Rng_Lkp_AnswerStatus_Bad)</f>
        <v/>
      </c>
      <c r="N10" s="25" t="b">
        <v>1</v>
      </c>
      <c r="O10" s="80"/>
      <c r="P10" s="27" t="str">
        <f>IFERROR(IF(Tbl_A2_Syntax_01[[#This Row],[Is Y1 Equal to Y2]]="","",IF(AND(_xlfn.ISFORMULA(Tbl_A2_Syntax_01[[#This Row],[Is Y1 Equal to Y2]]),EXACT(Tbl_A2_Syntax_01[[#This Row],[Is Y1 Equal to Y2]],Tbl_A2_Syntax_01[[#This Row],[Is Y1 Equal to Y2 ANS]])),Rng_Lkp_AnswerStatus_Good,Rng_Lkp_AnswerStatus_Bad)),Rng_Lkp_AnswerStatus_Bad)</f>
        <v/>
      </c>
      <c r="Q10" s="81" t="b">
        <v>0</v>
      </c>
      <c r="R10" s="80"/>
      <c r="S10" s="48" t="str">
        <f>IFERROR(IF(Tbl_A2_Syntax_01[[#This Row],[Is Y1 Not Equal to Y2]]="","",IF(AND(_xlfn.ISFORMULA(Tbl_A2_Syntax_01[[#This Row],[Is Y1 Not Equal to Y2]]),EXACT(Tbl_A2_Syntax_01[[#This Row],[Is Y1 Not Equal to Y2]],Tbl_A2_Syntax_01[[#This Row],[Is Y1 Not Equal to Y2 ANS]])),Rng_Lkp_AnswerStatus_Good,Rng_Lkp_AnswerStatus_Bad)),Rng_Lkp_AnswerStatus_Bad)</f>
        <v/>
      </c>
      <c r="T10" s="81" t="b">
        <v>1</v>
      </c>
      <c r="U10" s="83"/>
      <c r="V10" s="48" t="str">
        <f>IFERROR(IF(Tbl_A2_Syntax_01[[#This Row],[Account ID: Full Name]]="","",IF(AND(_xlfn.ISFORMULA(Tbl_A2_Syntax_01[[#This Row],[Account ID: Full Name]]),EXACT(Tbl_A2_Syntax_01[[#This Row],[Account ID: Full Name]],Tbl_A2_Syntax_01[[#This Row],[Account ID: Full Name ANS]])),Rng_Lkp_AnswerStatus_Good,Rng_Lkp_AnswerStatus_Bad)),Rng_Lkp_AnswerStatus_Bad)</f>
        <v/>
      </c>
      <c r="W10" s="85" t="s">
        <v>223</v>
      </c>
    </row>
    <row r="11" spans="1:23" x14ac:dyDescent="0.25">
      <c r="B11" s="11">
        <v>4298</v>
      </c>
      <c r="C11" s="12" t="s">
        <v>14</v>
      </c>
      <c r="D11" s="86">
        <v>1400</v>
      </c>
      <c r="E11" s="86">
        <v>1200</v>
      </c>
      <c r="F11" s="78"/>
      <c r="G11" s="27" t="str">
        <f>IFERROR(IF(Tbl_A2_Syntax_01[[#This Row],[% Change (Y2 - Y1) / Y1]]="","",IF(AND(_xlfn.ISFORMULA(Tbl_A2_Syntax_01[[#This Row],[% Change (Y2 - Y1) / Y1]]),EXACT(Tbl_A2_Syntax_01[[#This Row],[% Change (Y2 - Y1) / Y1]],Tbl_A2_Syntax_01[[#This Row],[% Change (Y2 - Y1) / Y1 ANS]])),Rng_Lkp_AnswerStatus_Good,Rng_Lkp_AnswerStatus_Bad)),Rng_Lkp_AnswerStatus_Bad)</f>
        <v/>
      </c>
      <c r="H11" s="45">
        <v>-0.14285714285714285</v>
      </c>
      <c r="I11" s="43"/>
      <c r="J11" s="27" t="str">
        <f>IFERROR(IF(Tbl_A2_Syntax_01[[#This Row],[Member Dues Y1^2]]="","",IF(AND(_xlfn.ISFORMULA(Tbl_A2_Syntax_01[[#This Row],[Member Dues Y1^2]]),EXACT(Tbl_A2_Syntax_01[[#This Row],[Member Dues Y1^2]],Tbl_A2_Syntax_01[[#This Row],[Membership Dues Y1^2 ANS]])),Rng_Lkp_AnswerStatus_Good,Rng_Lkp_AnswerStatus_Bad)),Rng_Lkp_AnswerStatus_Bad)</f>
        <v/>
      </c>
      <c r="K11" s="46">
        <v>1960000</v>
      </c>
      <c r="L11" s="80"/>
      <c r="M11" s="27" t="str">
        <f>IFERROR(IF(Tbl_A2_Syntax_01[[#This Row],[Is Y1 Less Than or Equal to Y2]]="","",IF(AND(_xlfn.ISFORMULA(Tbl_A2_Syntax_01[[#This Row],[Is Y1 Less Than or Equal to Y2]]),EXACT(Tbl_A2_Syntax_01[[#This Row],[Is Y1 Less Than or Equal to Y2]],Tbl_A2_Syntax_01[[#This Row],[Is Y1 Less Than or Equal to Y2 ANS]])),Rng_Lkp_AnswerStatus_Good,Rng_Lkp_AnswerStatus_Bad)),Rng_Lkp_AnswerStatus_Bad)</f>
        <v/>
      </c>
      <c r="N11" s="25" t="b">
        <v>0</v>
      </c>
      <c r="O11" s="80"/>
      <c r="P11" s="27" t="str">
        <f>IFERROR(IF(Tbl_A2_Syntax_01[[#This Row],[Is Y1 Equal to Y2]]="","",IF(AND(_xlfn.ISFORMULA(Tbl_A2_Syntax_01[[#This Row],[Is Y1 Equal to Y2]]),EXACT(Tbl_A2_Syntax_01[[#This Row],[Is Y1 Equal to Y2]],Tbl_A2_Syntax_01[[#This Row],[Is Y1 Equal to Y2 ANS]])),Rng_Lkp_AnswerStatus_Good,Rng_Lkp_AnswerStatus_Bad)),Rng_Lkp_AnswerStatus_Bad)</f>
        <v/>
      </c>
      <c r="Q11" s="81" t="b">
        <v>0</v>
      </c>
      <c r="R11" s="80"/>
      <c r="S11" s="48" t="str">
        <f>IFERROR(IF(Tbl_A2_Syntax_01[[#This Row],[Is Y1 Not Equal to Y2]]="","",IF(AND(_xlfn.ISFORMULA(Tbl_A2_Syntax_01[[#This Row],[Is Y1 Not Equal to Y2]]),EXACT(Tbl_A2_Syntax_01[[#This Row],[Is Y1 Not Equal to Y2]],Tbl_A2_Syntax_01[[#This Row],[Is Y1 Not Equal to Y2 ANS]])),Rng_Lkp_AnswerStatus_Good,Rng_Lkp_AnswerStatus_Bad)),Rng_Lkp_AnswerStatus_Bad)</f>
        <v/>
      </c>
      <c r="T11" s="81" t="b">
        <v>1</v>
      </c>
      <c r="U11" s="83"/>
      <c r="V11" s="48" t="str">
        <f>IFERROR(IF(Tbl_A2_Syntax_01[[#This Row],[Account ID: Full Name]]="","",IF(AND(_xlfn.ISFORMULA(Tbl_A2_Syntax_01[[#This Row],[Account ID: Full Name]]),EXACT(Tbl_A2_Syntax_01[[#This Row],[Account ID: Full Name]],Tbl_A2_Syntax_01[[#This Row],[Account ID: Full Name ANS]])),Rng_Lkp_AnswerStatus_Good,Rng_Lkp_AnswerStatus_Bad)),Rng_Lkp_AnswerStatus_Bad)</f>
        <v/>
      </c>
      <c r="W11" s="85" t="s">
        <v>112</v>
      </c>
    </row>
    <row r="12" spans="1:23" x14ac:dyDescent="0.25">
      <c r="B12" s="11">
        <v>2352</v>
      </c>
      <c r="C12" s="12" t="s">
        <v>139</v>
      </c>
      <c r="D12" s="86">
        <v>1000</v>
      </c>
      <c r="E12" s="86">
        <v>950</v>
      </c>
      <c r="F12" s="78"/>
      <c r="G12" s="27" t="str">
        <f>IFERROR(IF(Tbl_A2_Syntax_01[[#This Row],[% Change (Y2 - Y1) / Y1]]="","",IF(AND(_xlfn.ISFORMULA(Tbl_A2_Syntax_01[[#This Row],[% Change (Y2 - Y1) / Y1]]),EXACT(Tbl_A2_Syntax_01[[#This Row],[% Change (Y2 - Y1) / Y1]],Tbl_A2_Syntax_01[[#This Row],[% Change (Y2 - Y1) / Y1 ANS]])),Rng_Lkp_AnswerStatus_Good,Rng_Lkp_AnswerStatus_Bad)),Rng_Lkp_AnswerStatus_Bad)</f>
        <v/>
      </c>
      <c r="H12" s="45">
        <v>-0.05</v>
      </c>
      <c r="I12" s="43"/>
      <c r="J12" s="27" t="str">
        <f>IFERROR(IF(Tbl_A2_Syntax_01[[#This Row],[Member Dues Y1^2]]="","",IF(AND(_xlfn.ISFORMULA(Tbl_A2_Syntax_01[[#This Row],[Member Dues Y1^2]]),EXACT(Tbl_A2_Syntax_01[[#This Row],[Member Dues Y1^2]],Tbl_A2_Syntax_01[[#This Row],[Membership Dues Y1^2 ANS]])),Rng_Lkp_AnswerStatus_Good,Rng_Lkp_AnswerStatus_Bad)),Rng_Lkp_AnswerStatus_Bad)</f>
        <v/>
      </c>
      <c r="K12" s="46">
        <v>1000000</v>
      </c>
      <c r="L12" s="80"/>
      <c r="M12" s="27" t="str">
        <f>IFERROR(IF(Tbl_A2_Syntax_01[[#This Row],[Is Y1 Less Than or Equal to Y2]]="","",IF(AND(_xlfn.ISFORMULA(Tbl_A2_Syntax_01[[#This Row],[Is Y1 Less Than or Equal to Y2]]),EXACT(Tbl_A2_Syntax_01[[#This Row],[Is Y1 Less Than or Equal to Y2]],Tbl_A2_Syntax_01[[#This Row],[Is Y1 Less Than or Equal to Y2 ANS]])),Rng_Lkp_AnswerStatus_Good,Rng_Lkp_AnswerStatus_Bad)),Rng_Lkp_AnswerStatus_Bad)</f>
        <v/>
      </c>
      <c r="N12" s="25" t="b">
        <v>0</v>
      </c>
      <c r="O12" s="80"/>
      <c r="P12" s="27" t="str">
        <f>IFERROR(IF(Tbl_A2_Syntax_01[[#This Row],[Is Y1 Equal to Y2]]="","",IF(AND(_xlfn.ISFORMULA(Tbl_A2_Syntax_01[[#This Row],[Is Y1 Equal to Y2]]),EXACT(Tbl_A2_Syntax_01[[#This Row],[Is Y1 Equal to Y2]],Tbl_A2_Syntax_01[[#This Row],[Is Y1 Equal to Y2 ANS]])),Rng_Lkp_AnswerStatus_Good,Rng_Lkp_AnswerStatus_Bad)),Rng_Lkp_AnswerStatus_Bad)</f>
        <v/>
      </c>
      <c r="Q12" s="81" t="b">
        <v>0</v>
      </c>
      <c r="R12" s="80"/>
      <c r="S12" s="48" t="str">
        <f>IFERROR(IF(Tbl_A2_Syntax_01[[#This Row],[Is Y1 Not Equal to Y2]]="","",IF(AND(_xlfn.ISFORMULA(Tbl_A2_Syntax_01[[#This Row],[Is Y1 Not Equal to Y2]]),EXACT(Tbl_A2_Syntax_01[[#This Row],[Is Y1 Not Equal to Y2]],Tbl_A2_Syntax_01[[#This Row],[Is Y1 Not Equal to Y2 ANS]])),Rng_Lkp_AnswerStatus_Good,Rng_Lkp_AnswerStatus_Bad)),Rng_Lkp_AnswerStatus_Bad)</f>
        <v/>
      </c>
      <c r="T12" s="81" t="b">
        <v>1</v>
      </c>
      <c r="U12" s="83"/>
      <c r="V12" s="48" t="str">
        <f>IFERROR(IF(Tbl_A2_Syntax_01[[#This Row],[Account ID: Full Name]]="","",IF(AND(_xlfn.ISFORMULA(Tbl_A2_Syntax_01[[#This Row],[Account ID: Full Name]]),EXACT(Tbl_A2_Syntax_01[[#This Row],[Account ID: Full Name]],Tbl_A2_Syntax_01[[#This Row],[Account ID: Full Name ANS]])),Rng_Lkp_AnswerStatus_Good,Rng_Lkp_AnswerStatus_Bad)),Rng_Lkp_AnswerStatus_Bad)</f>
        <v/>
      </c>
      <c r="W12" s="85" t="s">
        <v>224</v>
      </c>
    </row>
    <row r="13" spans="1:23" x14ac:dyDescent="0.25">
      <c r="B13" s="11">
        <v>1049</v>
      </c>
      <c r="C13" s="12" t="s">
        <v>140</v>
      </c>
      <c r="D13" s="86">
        <v>1000</v>
      </c>
      <c r="E13" s="86">
        <v>1000</v>
      </c>
      <c r="F13" s="78"/>
      <c r="G13" s="27" t="str">
        <f>IFERROR(IF(Tbl_A2_Syntax_01[[#This Row],[% Change (Y2 - Y1) / Y1]]="","",IF(AND(_xlfn.ISFORMULA(Tbl_A2_Syntax_01[[#This Row],[% Change (Y2 - Y1) / Y1]]),EXACT(Tbl_A2_Syntax_01[[#This Row],[% Change (Y2 - Y1) / Y1]],Tbl_A2_Syntax_01[[#This Row],[% Change (Y2 - Y1) / Y1 ANS]])),Rng_Lkp_AnswerStatus_Good,Rng_Lkp_AnswerStatus_Bad)),Rng_Lkp_AnswerStatus_Bad)</f>
        <v/>
      </c>
      <c r="H13" s="45">
        <v>0</v>
      </c>
      <c r="I13" s="43"/>
      <c r="J13" s="27" t="str">
        <f>IFERROR(IF(Tbl_A2_Syntax_01[[#This Row],[Member Dues Y1^2]]="","",IF(AND(_xlfn.ISFORMULA(Tbl_A2_Syntax_01[[#This Row],[Member Dues Y1^2]]),EXACT(Tbl_A2_Syntax_01[[#This Row],[Member Dues Y1^2]],Tbl_A2_Syntax_01[[#This Row],[Membership Dues Y1^2 ANS]])),Rng_Lkp_AnswerStatus_Good,Rng_Lkp_AnswerStatus_Bad)),Rng_Lkp_AnswerStatus_Bad)</f>
        <v/>
      </c>
      <c r="K13" s="46">
        <v>1000000</v>
      </c>
      <c r="L13" s="80"/>
      <c r="M13" s="27" t="str">
        <f>IFERROR(IF(Tbl_A2_Syntax_01[[#This Row],[Is Y1 Less Than or Equal to Y2]]="","",IF(AND(_xlfn.ISFORMULA(Tbl_A2_Syntax_01[[#This Row],[Is Y1 Less Than or Equal to Y2]]),EXACT(Tbl_A2_Syntax_01[[#This Row],[Is Y1 Less Than or Equal to Y2]],Tbl_A2_Syntax_01[[#This Row],[Is Y1 Less Than or Equal to Y2 ANS]])),Rng_Lkp_AnswerStatus_Good,Rng_Lkp_AnswerStatus_Bad)),Rng_Lkp_AnswerStatus_Bad)</f>
        <v/>
      </c>
      <c r="N13" s="25" t="b">
        <v>1</v>
      </c>
      <c r="O13" s="80"/>
      <c r="P13" s="27" t="str">
        <f>IFERROR(IF(Tbl_A2_Syntax_01[[#This Row],[Is Y1 Equal to Y2]]="","",IF(AND(_xlfn.ISFORMULA(Tbl_A2_Syntax_01[[#This Row],[Is Y1 Equal to Y2]]),EXACT(Tbl_A2_Syntax_01[[#This Row],[Is Y1 Equal to Y2]],Tbl_A2_Syntax_01[[#This Row],[Is Y1 Equal to Y2 ANS]])),Rng_Lkp_AnswerStatus_Good,Rng_Lkp_AnswerStatus_Bad)),Rng_Lkp_AnswerStatus_Bad)</f>
        <v/>
      </c>
      <c r="Q13" s="81" t="b">
        <v>1</v>
      </c>
      <c r="R13" s="80"/>
      <c r="S13" s="48" t="str">
        <f>IFERROR(IF(Tbl_A2_Syntax_01[[#This Row],[Is Y1 Not Equal to Y2]]="","",IF(AND(_xlfn.ISFORMULA(Tbl_A2_Syntax_01[[#This Row],[Is Y1 Not Equal to Y2]]),EXACT(Tbl_A2_Syntax_01[[#This Row],[Is Y1 Not Equal to Y2]],Tbl_A2_Syntax_01[[#This Row],[Is Y1 Not Equal to Y2 ANS]])),Rng_Lkp_AnswerStatus_Good,Rng_Lkp_AnswerStatus_Bad)),Rng_Lkp_AnswerStatus_Bad)</f>
        <v/>
      </c>
      <c r="T13" s="81" t="b">
        <v>0</v>
      </c>
      <c r="U13" s="83"/>
      <c r="V13" s="48" t="str">
        <f>IFERROR(IF(Tbl_A2_Syntax_01[[#This Row],[Account ID: Full Name]]="","",IF(AND(_xlfn.ISFORMULA(Tbl_A2_Syntax_01[[#This Row],[Account ID: Full Name]]),EXACT(Tbl_A2_Syntax_01[[#This Row],[Account ID: Full Name]],Tbl_A2_Syntax_01[[#This Row],[Account ID: Full Name ANS]])),Rng_Lkp_AnswerStatus_Good,Rng_Lkp_AnswerStatus_Bad)),Rng_Lkp_AnswerStatus_Bad)</f>
        <v/>
      </c>
      <c r="W13" s="85" t="s">
        <v>225</v>
      </c>
    </row>
    <row r="14" spans="1:23" x14ac:dyDescent="0.25">
      <c r="B14" s="11">
        <v>2278</v>
      </c>
      <c r="C14" s="12" t="s">
        <v>141</v>
      </c>
      <c r="D14" s="86">
        <v>750</v>
      </c>
      <c r="E14" s="86">
        <v>1000</v>
      </c>
      <c r="F14" s="78"/>
      <c r="G14" s="27" t="str">
        <f>IFERROR(IF(Tbl_A2_Syntax_01[[#This Row],[% Change (Y2 - Y1) / Y1]]="","",IF(AND(_xlfn.ISFORMULA(Tbl_A2_Syntax_01[[#This Row],[% Change (Y2 - Y1) / Y1]]),EXACT(Tbl_A2_Syntax_01[[#This Row],[% Change (Y2 - Y1) / Y1]],Tbl_A2_Syntax_01[[#This Row],[% Change (Y2 - Y1) / Y1 ANS]])),Rng_Lkp_AnswerStatus_Good,Rng_Lkp_AnswerStatus_Bad)),Rng_Lkp_AnswerStatus_Bad)</f>
        <v/>
      </c>
      <c r="H14" s="45">
        <v>0.33333333333333331</v>
      </c>
      <c r="I14" s="43"/>
      <c r="J14" s="27" t="str">
        <f>IFERROR(IF(Tbl_A2_Syntax_01[[#This Row],[Member Dues Y1^2]]="","",IF(AND(_xlfn.ISFORMULA(Tbl_A2_Syntax_01[[#This Row],[Member Dues Y1^2]]),EXACT(Tbl_A2_Syntax_01[[#This Row],[Member Dues Y1^2]],Tbl_A2_Syntax_01[[#This Row],[Membership Dues Y1^2 ANS]])),Rng_Lkp_AnswerStatus_Good,Rng_Lkp_AnswerStatus_Bad)),Rng_Lkp_AnswerStatus_Bad)</f>
        <v/>
      </c>
      <c r="K14" s="46">
        <v>562500</v>
      </c>
      <c r="L14" s="80"/>
      <c r="M14" s="27" t="str">
        <f>IFERROR(IF(Tbl_A2_Syntax_01[[#This Row],[Is Y1 Less Than or Equal to Y2]]="","",IF(AND(_xlfn.ISFORMULA(Tbl_A2_Syntax_01[[#This Row],[Is Y1 Less Than or Equal to Y2]]),EXACT(Tbl_A2_Syntax_01[[#This Row],[Is Y1 Less Than or Equal to Y2]],Tbl_A2_Syntax_01[[#This Row],[Is Y1 Less Than or Equal to Y2 ANS]])),Rng_Lkp_AnswerStatus_Good,Rng_Lkp_AnswerStatus_Bad)),Rng_Lkp_AnswerStatus_Bad)</f>
        <v/>
      </c>
      <c r="N14" s="25" t="b">
        <v>1</v>
      </c>
      <c r="O14" s="80"/>
      <c r="P14" s="27" t="str">
        <f>IFERROR(IF(Tbl_A2_Syntax_01[[#This Row],[Is Y1 Equal to Y2]]="","",IF(AND(_xlfn.ISFORMULA(Tbl_A2_Syntax_01[[#This Row],[Is Y1 Equal to Y2]]),EXACT(Tbl_A2_Syntax_01[[#This Row],[Is Y1 Equal to Y2]],Tbl_A2_Syntax_01[[#This Row],[Is Y1 Equal to Y2 ANS]])),Rng_Lkp_AnswerStatus_Good,Rng_Lkp_AnswerStatus_Bad)),Rng_Lkp_AnswerStatus_Bad)</f>
        <v/>
      </c>
      <c r="Q14" s="81" t="b">
        <v>0</v>
      </c>
      <c r="R14" s="80"/>
      <c r="S14" s="48" t="str">
        <f>IFERROR(IF(Tbl_A2_Syntax_01[[#This Row],[Is Y1 Not Equal to Y2]]="","",IF(AND(_xlfn.ISFORMULA(Tbl_A2_Syntax_01[[#This Row],[Is Y1 Not Equal to Y2]]),EXACT(Tbl_A2_Syntax_01[[#This Row],[Is Y1 Not Equal to Y2]],Tbl_A2_Syntax_01[[#This Row],[Is Y1 Not Equal to Y2 ANS]])),Rng_Lkp_AnswerStatus_Good,Rng_Lkp_AnswerStatus_Bad)),Rng_Lkp_AnswerStatus_Bad)</f>
        <v/>
      </c>
      <c r="T14" s="81" t="b">
        <v>1</v>
      </c>
      <c r="U14" s="83"/>
      <c r="V14" s="48" t="str">
        <f>IFERROR(IF(Tbl_A2_Syntax_01[[#This Row],[Account ID: Full Name]]="","",IF(AND(_xlfn.ISFORMULA(Tbl_A2_Syntax_01[[#This Row],[Account ID: Full Name]]),EXACT(Tbl_A2_Syntax_01[[#This Row],[Account ID: Full Name]],Tbl_A2_Syntax_01[[#This Row],[Account ID: Full Name ANS]])),Rng_Lkp_AnswerStatus_Good,Rng_Lkp_AnswerStatus_Bad)),Rng_Lkp_AnswerStatus_Bad)</f>
        <v/>
      </c>
      <c r="W14" s="85" t="s">
        <v>226</v>
      </c>
    </row>
    <row r="15" spans="1:23" x14ac:dyDescent="0.25">
      <c r="B15" s="11">
        <v>4071</v>
      </c>
      <c r="C15" s="12" t="s">
        <v>15</v>
      </c>
      <c r="D15" s="86">
        <v>75</v>
      </c>
      <c r="E15" s="86">
        <v>150</v>
      </c>
      <c r="F15" s="78"/>
      <c r="G15" s="27" t="str">
        <f>IFERROR(IF(Tbl_A2_Syntax_01[[#This Row],[% Change (Y2 - Y1) / Y1]]="","",IF(AND(_xlfn.ISFORMULA(Tbl_A2_Syntax_01[[#This Row],[% Change (Y2 - Y1) / Y1]]),EXACT(Tbl_A2_Syntax_01[[#This Row],[% Change (Y2 - Y1) / Y1]],Tbl_A2_Syntax_01[[#This Row],[% Change (Y2 - Y1) / Y1 ANS]])),Rng_Lkp_AnswerStatus_Good,Rng_Lkp_AnswerStatus_Bad)),Rng_Lkp_AnswerStatus_Bad)</f>
        <v/>
      </c>
      <c r="H15" s="45">
        <v>1</v>
      </c>
      <c r="I15" s="43"/>
      <c r="J15" s="27" t="str">
        <f>IFERROR(IF(Tbl_A2_Syntax_01[[#This Row],[Member Dues Y1^2]]="","",IF(AND(_xlfn.ISFORMULA(Tbl_A2_Syntax_01[[#This Row],[Member Dues Y1^2]]),EXACT(Tbl_A2_Syntax_01[[#This Row],[Member Dues Y1^2]],Tbl_A2_Syntax_01[[#This Row],[Membership Dues Y1^2 ANS]])),Rng_Lkp_AnswerStatus_Good,Rng_Lkp_AnswerStatus_Bad)),Rng_Lkp_AnswerStatus_Bad)</f>
        <v/>
      </c>
      <c r="K15" s="46">
        <v>5625</v>
      </c>
      <c r="L15" s="80"/>
      <c r="M15" s="27" t="str">
        <f>IFERROR(IF(Tbl_A2_Syntax_01[[#This Row],[Is Y1 Less Than or Equal to Y2]]="","",IF(AND(_xlfn.ISFORMULA(Tbl_A2_Syntax_01[[#This Row],[Is Y1 Less Than or Equal to Y2]]),EXACT(Tbl_A2_Syntax_01[[#This Row],[Is Y1 Less Than or Equal to Y2]],Tbl_A2_Syntax_01[[#This Row],[Is Y1 Less Than or Equal to Y2 ANS]])),Rng_Lkp_AnswerStatus_Good,Rng_Lkp_AnswerStatus_Bad)),Rng_Lkp_AnswerStatus_Bad)</f>
        <v/>
      </c>
      <c r="N15" s="25" t="b">
        <v>1</v>
      </c>
      <c r="O15" s="80"/>
      <c r="P15" s="27" t="str">
        <f>IFERROR(IF(Tbl_A2_Syntax_01[[#This Row],[Is Y1 Equal to Y2]]="","",IF(AND(_xlfn.ISFORMULA(Tbl_A2_Syntax_01[[#This Row],[Is Y1 Equal to Y2]]),EXACT(Tbl_A2_Syntax_01[[#This Row],[Is Y1 Equal to Y2]],Tbl_A2_Syntax_01[[#This Row],[Is Y1 Equal to Y2 ANS]])),Rng_Lkp_AnswerStatus_Good,Rng_Lkp_AnswerStatus_Bad)),Rng_Lkp_AnswerStatus_Bad)</f>
        <v/>
      </c>
      <c r="Q15" s="81" t="b">
        <v>0</v>
      </c>
      <c r="R15" s="80"/>
      <c r="S15" s="48" t="str">
        <f>IFERROR(IF(Tbl_A2_Syntax_01[[#This Row],[Is Y1 Not Equal to Y2]]="","",IF(AND(_xlfn.ISFORMULA(Tbl_A2_Syntax_01[[#This Row],[Is Y1 Not Equal to Y2]]),EXACT(Tbl_A2_Syntax_01[[#This Row],[Is Y1 Not Equal to Y2]],Tbl_A2_Syntax_01[[#This Row],[Is Y1 Not Equal to Y2 ANS]])),Rng_Lkp_AnswerStatus_Good,Rng_Lkp_AnswerStatus_Bad)),Rng_Lkp_AnswerStatus_Bad)</f>
        <v/>
      </c>
      <c r="T15" s="81" t="b">
        <v>1</v>
      </c>
      <c r="U15" s="83"/>
      <c r="V15" s="48" t="str">
        <f>IFERROR(IF(Tbl_A2_Syntax_01[[#This Row],[Account ID: Full Name]]="","",IF(AND(_xlfn.ISFORMULA(Tbl_A2_Syntax_01[[#This Row],[Account ID: Full Name]]),EXACT(Tbl_A2_Syntax_01[[#This Row],[Account ID: Full Name]],Tbl_A2_Syntax_01[[#This Row],[Account ID: Full Name ANS]])),Rng_Lkp_AnswerStatus_Good,Rng_Lkp_AnswerStatus_Bad)),Rng_Lkp_AnswerStatus_Bad)</f>
        <v/>
      </c>
      <c r="W15" s="85" t="s">
        <v>113</v>
      </c>
    </row>
    <row r="16" spans="1:23" x14ac:dyDescent="0.25">
      <c r="B16" s="11">
        <v>1066</v>
      </c>
      <c r="C16" s="12" t="s">
        <v>16</v>
      </c>
      <c r="D16" s="86">
        <v>75</v>
      </c>
      <c r="E16" s="86">
        <v>125</v>
      </c>
      <c r="F16" s="78"/>
      <c r="G16" s="27" t="str">
        <f>IFERROR(IF(Tbl_A2_Syntax_01[[#This Row],[% Change (Y2 - Y1) / Y1]]="","",IF(AND(_xlfn.ISFORMULA(Tbl_A2_Syntax_01[[#This Row],[% Change (Y2 - Y1) / Y1]]),EXACT(Tbl_A2_Syntax_01[[#This Row],[% Change (Y2 - Y1) / Y1]],Tbl_A2_Syntax_01[[#This Row],[% Change (Y2 - Y1) / Y1 ANS]])),Rng_Lkp_AnswerStatus_Good,Rng_Lkp_AnswerStatus_Bad)),Rng_Lkp_AnswerStatus_Bad)</f>
        <v/>
      </c>
      <c r="H16" s="45">
        <v>0.66666666666666663</v>
      </c>
      <c r="I16" s="43"/>
      <c r="J16" s="27" t="str">
        <f>IFERROR(IF(Tbl_A2_Syntax_01[[#This Row],[Member Dues Y1^2]]="","",IF(AND(_xlfn.ISFORMULA(Tbl_A2_Syntax_01[[#This Row],[Member Dues Y1^2]]),EXACT(Tbl_A2_Syntax_01[[#This Row],[Member Dues Y1^2]],Tbl_A2_Syntax_01[[#This Row],[Membership Dues Y1^2 ANS]])),Rng_Lkp_AnswerStatus_Good,Rng_Lkp_AnswerStatus_Bad)),Rng_Lkp_AnswerStatus_Bad)</f>
        <v/>
      </c>
      <c r="K16" s="46">
        <v>5625</v>
      </c>
      <c r="L16" s="80"/>
      <c r="M16" s="27" t="str">
        <f>IFERROR(IF(Tbl_A2_Syntax_01[[#This Row],[Is Y1 Less Than or Equal to Y2]]="","",IF(AND(_xlfn.ISFORMULA(Tbl_A2_Syntax_01[[#This Row],[Is Y1 Less Than or Equal to Y2]]),EXACT(Tbl_A2_Syntax_01[[#This Row],[Is Y1 Less Than or Equal to Y2]],Tbl_A2_Syntax_01[[#This Row],[Is Y1 Less Than or Equal to Y2 ANS]])),Rng_Lkp_AnswerStatus_Good,Rng_Lkp_AnswerStatus_Bad)),Rng_Lkp_AnswerStatus_Bad)</f>
        <v/>
      </c>
      <c r="N16" s="25" t="b">
        <v>1</v>
      </c>
      <c r="O16" s="80"/>
      <c r="P16" s="27" t="str">
        <f>IFERROR(IF(Tbl_A2_Syntax_01[[#This Row],[Is Y1 Equal to Y2]]="","",IF(AND(_xlfn.ISFORMULA(Tbl_A2_Syntax_01[[#This Row],[Is Y1 Equal to Y2]]),EXACT(Tbl_A2_Syntax_01[[#This Row],[Is Y1 Equal to Y2]],Tbl_A2_Syntax_01[[#This Row],[Is Y1 Equal to Y2 ANS]])),Rng_Lkp_AnswerStatus_Good,Rng_Lkp_AnswerStatus_Bad)),Rng_Lkp_AnswerStatus_Bad)</f>
        <v/>
      </c>
      <c r="Q16" s="81" t="b">
        <v>0</v>
      </c>
      <c r="R16" s="80"/>
      <c r="S16" s="48" t="str">
        <f>IFERROR(IF(Tbl_A2_Syntax_01[[#This Row],[Is Y1 Not Equal to Y2]]="","",IF(AND(_xlfn.ISFORMULA(Tbl_A2_Syntax_01[[#This Row],[Is Y1 Not Equal to Y2]]),EXACT(Tbl_A2_Syntax_01[[#This Row],[Is Y1 Not Equal to Y2]],Tbl_A2_Syntax_01[[#This Row],[Is Y1 Not Equal to Y2 ANS]])),Rng_Lkp_AnswerStatus_Good,Rng_Lkp_AnswerStatus_Bad)),Rng_Lkp_AnswerStatus_Bad)</f>
        <v/>
      </c>
      <c r="T16" s="81" t="b">
        <v>1</v>
      </c>
      <c r="U16" s="83"/>
      <c r="V16" s="48" t="str">
        <f>IFERROR(IF(Tbl_A2_Syntax_01[[#This Row],[Account ID: Full Name]]="","",IF(AND(_xlfn.ISFORMULA(Tbl_A2_Syntax_01[[#This Row],[Account ID: Full Name]]),EXACT(Tbl_A2_Syntax_01[[#This Row],[Account ID: Full Name]],Tbl_A2_Syntax_01[[#This Row],[Account ID: Full Name ANS]])),Rng_Lkp_AnswerStatus_Good,Rng_Lkp_AnswerStatus_Bad)),Rng_Lkp_AnswerStatus_Bad)</f>
        <v/>
      </c>
      <c r="W16" s="85" t="s">
        <v>114</v>
      </c>
    </row>
    <row r="17" spans="2:23" x14ac:dyDescent="0.25">
      <c r="B17" s="11">
        <v>2316</v>
      </c>
      <c r="C17" s="12" t="s">
        <v>144</v>
      </c>
      <c r="D17" s="86">
        <v>72</v>
      </c>
      <c r="E17" s="86">
        <v>18</v>
      </c>
      <c r="F17" s="78"/>
      <c r="G17" s="27" t="str">
        <f>IFERROR(IF(Tbl_A2_Syntax_01[[#This Row],[% Change (Y2 - Y1) / Y1]]="","",IF(AND(_xlfn.ISFORMULA(Tbl_A2_Syntax_01[[#This Row],[% Change (Y2 - Y1) / Y1]]),EXACT(Tbl_A2_Syntax_01[[#This Row],[% Change (Y2 - Y1) / Y1]],Tbl_A2_Syntax_01[[#This Row],[% Change (Y2 - Y1) / Y1 ANS]])),Rng_Lkp_AnswerStatus_Good,Rng_Lkp_AnswerStatus_Bad)),Rng_Lkp_AnswerStatus_Bad)</f>
        <v/>
      </c>
      <c r="H17" s="45">
        <v>-0.75</v>
      </c>
      <c r="I17" s="43"/>
      <c r="J17" s="27" t="str">
        <f>IFERROR(IF(Tbl_A2_Syntax_01[[#This Row],[Member Dues Y1^2]]="","",IF(AND(_xlfn.ISFORMULA(Tbl_A2_Syntax_01[[#This Row],[Member Dues Y1^2]]),EXACT(Tbl_A2_Syntax_01[[#This Row],[Member Dues Y1^2]],Tbl_A2_Syntax_01[[#This Row],[Membership Dues Y1^2 ANS]])),Rng_Lkp_AnswerStatus_Good,Rng_Lkp_AnswerStatus_Bad)),Rng_Lkp_AnswerStatus_Bad)</f>
        <v/>
      </c>
      <c r="K17" s="46">
        <v>5184</v>
      </c>
      <c r="L17" s="80"/>
      <c r="M17" s="27" t="str">
        <f>IFERROR(IF(Tbl_A2_Syntax_01[[#This Row],[Is Y1 Less Than or Equal to Y2]]="","",IF(AND(_xlfn.ISFORMULA(Tbl_A2_Syntax_01[[#This Row],[Is Y1 Less Than or Equal to Y2]]),EXACT(Tbl_A2_Syntax_01[[#This Row],[Is Y1 Less Than or Equal to Y2]],Tbl_A2_Syntax_01[[#This Row],[Is Y1 Less Than or Equal to Y2 ANS]])),Rng_Lkp_AnswerStatus_Good,Rng_Lkp_AnswerStatus_Bad)),Rng_Lkp_AnswerStatus_Bad)</f>
        <v/>
      </c>
      <c r="N17" s="25" t="b">
        <v>0</v>
      </c>
      <c r="O17" s="80"/>
      <c r="P17" s="27" t="str">
        <f>IFERROR(IF(Tbl_A2_Syntax_01[[#This Row],[Is Y1 Equal to Y2]]="","",IF(AND(_xlfn.ISFORMULA(Tbl_A2_Syntax_01[[#This Row],[Is Y1 Equal to Y2]]),EXACT(Tbl_A2_Syntax_01[[#This Row],[Is Y1 Equal to Y2]],Tbl_A2_Syntax_01[[#This Row],[Is Y1 Equal to Y2 ANS]])),Rng_Lkp_AnswerStatus_Good,Rng_Lkp_AnswerStatus_Bad)),Rng_Lkp_AnswerStatus_Bad)</f>
        <v/>
      </c>
      <c r="Q17" s="81" t="b">
        <v>0</v>
      </c>
      <c r="R17" s="80"/>
      <c r="S17" s="48" t="str">
        <f>IFERROR(IF(Tbl_A2_Syntax_01[[#This Row],[Is Y1 Not Equal to Y2]]="","",IF(AND(_xlfn.ISFORMULA(Tbl_A2_Syntax_01[[#This Row],[Is Y1 Not Equal to Y2]]),EXACT(Tbl_A2_Syntax_01[[#This Row],[Is Y1 Not Equal to Y2]],Tbl_A2_Syntax_01[[#This Row],[Is Y1 Not Equal to Y2 ANS]])),Rng_Lkp_AnswerStatus_Good,Rng_Lkp_AnswerStatus_Bad)),Rng_Lkp_AnswerStatus_Bad)</f>
        <v/>
      </c>
      <c r="T17" s="81" t="b">
        <v>1</v>
      </c>
      <c r="U17" s="83"/>
      <c r="V17" s="48" t="str">
        <f>IFERROR(IF(Tbl_A2_Syntax_01[[#This Row],[Account ID: Full Name]]="","",IF(AND(_xlfn.ISFORMULA(Tbl_A2_Syntax_01[[#This Row],[Account ID: Full Name]]),EXACT(Tbl_A2_Syntax_01[[#This Row],[Account ID: Full Name]],Tbl_A2_Syntax_01[[#This Row],[Account ID: Full Name ANS]])),Rng_Lkp_AnswerStatus_Good,Rng_Lkp_AnswerStatus_Bad)),Rng_Lkp_AnswerStatus_Bad)</f>
        <v/>
      </c>
      <c r="W17" s="85" t="s">
        <v>227</v>
      </c>
    </row>
    <row r="18" spans="2:23" x14ac:dyDescent="0.25">
      <c r="B18" s="14">
        <v>3334</v>
      </c>
      <c r="C18" s="15" t="s">
        <v>17</v>
      </c>
      <c r="D18" s="87">
        <v>180</v>
      </c>
      <c r="E18" s="87">
        <v>80</v>
      </c>
      <c r="F18" s="78"/>
      <c r="G18" s="27" t="str">
        <f>IFERROR(IF(Tbl_A2_Syntax_01[[#This Row],[% Change (Y2 - Y1) / Y1]]="","",IF(AND(_xlfn.ISFORMULA(Tbl_A2_Syntax_01[[#This Row],[% Change (Y2 - Y1) / Y1]]),EXACT(Tbl_A2_Syntax_01[[#This Row],[% Change (Y2 - Y1) / Y1]],Tbl_A2_Syntax_01[[#This Row],[% Change (Y2 - Y1) / Y1 ANS]])),Rng_Lkp_AnswerStatus_Good,Rng_Lkp_AnswerStatus_Bad)),Rng_Lkp_AnswerStatus_Bad)</f>
        <v/>
      </c>
      <c r="H18" s="45">
        <v>-0.55555555555555558</v>
      </c>
      <c r="I18" s="43"/>
      <c r="J18" s="27" t="str">
        <f>IFERROR(IF(Tbl_A2_Syntax_01[[#This Row],[Member Dues Y1^2]]="","",IF(AND(_xlfn.ISFORMULA(Tbl_A2_Syntax_01[[#This Row],[Member Dues Y1^2]]),EXACT(Tbl_A2_Syntax_01[[#This Row],[Member Dues Y1^2]],Tbl_A2_Syntax_01[[#This Row],[Membership Dues Y1^2 ANS]])),Rng_Lkp_AnswerStatus_Good,Rng_Lkp_AnswerStatus_Bad)),Rng_Lkp_AnswerStatus_Bad)</f>
        <v/>
      </c>
      <c r="K18" s="46">
        <v>32400</v>
      </c>
      <c r="L18" s="80"/>
      <c r="M18" s="27" t="str">
        <f>IFERROR(IF(Tbl_A2_Syntax_01[[#This Row],[Is Y1 Less Than or Equal to Y2]]="","",IF(AND(_xlfn.ISFORMULA(Tbl_A2_Syntax_01[[#This Row],[Is Y1 Less Than or Equal to Y2]]),EXACT(Tbl_A2_Syntax_01[[#This Row],[Is Y1 Less Than or Equal to Y2]],Tbl_A2_Syntax_01[[#This Row],[Is Y1 Less Than or Equal to Y2 ANS]])),Rng_Lkp_AnswerStatus_Good,Rng_Lkp_AnswerStatus_Bad)),Rng_Lkp_AnswerStatus_Bad)</f>
        <v/>
      </c>
      <c r="N18" s="25" t="b">
        <v>0</v>
      </c>
      <c r="O18" s="80"/>
      <c r="P18" s="27" t="str">
        <f>IFERROR(IF(Tbl_A2_Syntax_01[[#This Row],[Is Y1 Equal to Y2]]="","",IF(AND(_xlfn.ISFORMULA(Tbl_A2_Syntax_01[[#This Row],[Is Y1 Equal to Y2]]),EXACT(Tbl_A2_Syntax_01[[#This Row],[Is Y1 Equal to Y2]],Tbl_A2_Syntax_01[[#This Row],[Is Y1 Equal to Y2 ANS]])),Rng_Lkp_AnswerStatus_Good,Rng_Lkp_AnswerStatus_Bad)),Rng_Lkp_AnswerStatus_Bad)</f>
        <v/>
      </c>
      <c r="Q18" s="81" t="b">
        <v>0</v>
      </c>
      <c r="R18" s="80"/>
      <c r="S18" s="48" t="str">
        <f>IFERROR(IF(Tbl_A2_Syntax_01[[#This Row],[Is Y1 Not Equal to Y2]]="","",IF(AND(_xlfn.ISFORMULA(Tbl_A2_Syntax_01[[#This Row],[Is Y1 Not Equal to Y2]]),EXACT(Tbl_A2_Syntax_01[[#This Row],[Is Y1 Not Equal to Y2]],Tbl_A2_Syntax_01[[#This Row],[Is Y1 Not Equal to Y2 ANS]])),Rng_Lkp_AnswerStatus_Good,Rng_Lkp_AnswerStatus_Bad)),Rng_Lkp_AnswerStatus_Bad)</f>
        <v/>
      </c>
      <c r="T18" s="81" t="b">
        <v>1</v>
      </c>
      <c r="U18" s="83"/>
      <c r="V18" s="48" t="str">
        <f>IFERROR(IF(Tbl_A2_Syntax_01[[#This Row],[Account ID: Full Name]]="","",IF(AND(_xlfn.ISFORMULA(Tbl_A2_Syntax_01[[#This Row],[Account ID: Full Name]]),EXACT(Tbl_A2_Syntax_01[[#This Row],[Account ID: Full Name]],Tbl_A2_Syntax_01[[#This Row],[Account ID: Full Name ANS]])),Rng_Lkp_AnswerStatus_Good,Rng_Lkp_AnswerStatus_Bad)),Rng_Lkp_AnswerStatus_Bad)</f>
        <v/>
      </c>
      <c r="W18" s="85" t="s">
        <v>115</v>
      </c>
    </row>
    <row r="19" spans="2:23" x14ac:dyDescent="0.25">
      <c r="B19" s="14">
        <v>1084</v>
      </c>
      <c r="C19" s="15" t="s">
        <v>145</v>
      </c>
      <c r="D19" s="87">
        <v>300</v>
      </c>
      <c r="E19" s="87">
        <v>100</v>
      </c>
      <c r="F19" s="78"/>
      <c r="G19" s="27" t="str">
        <f>IFERROR(IF(Tbl_A2_Syntax_01[[#This Row],[% Change (Y2 - Y1) / Y1]]="","",IF(AND(_xlfn.ISFORMULA(Tbl_A2_Syntax_01[[#This Row],[% Change (Y2 - Y1) / Y1]]),EXACT(Tbl_A2_Syntax_01[[#This Row],[% Change (Y2 - Y1) / Y1]],Tbl_A2_Syntax_01[[#This Row],[% Change (Y2 - Y1) / Y1 ANS]])),Rng_Lkp_AnswerStatus_Good,Rng_Lkp_AnswerStatus_Bad)),Rng_Lkp_AnswerStatus_Bad)</f>
        <v/>
      </c>
      <c r="H19" s="45">
        <v>-0.66666666666666663</v>
      </c>
      <c r="I19" s="43"/>
      <c r="J19" s="27" t="str">
        <f>IFERROR(IF(Tbl_A2_Syntax_01[[#This Row],[Member Dues Y1^2]]="","",IF(AND(_xlfn.ISFORMULA(Tbl_A2_Syntax_01[[#This Row],[Member Dues Y1^2]]),EXACT(Tbl_A2_Syntax_01[[#This Row],[Member Dues Y1^2]],Tbl_A2_Syntax_01[[#This Row],[Membership Dues Y1^2 ANS]])),Rng_Lkp_AnswerStatus_Good,Rng_Lkp_AnswerStatus_Bad)),Rng_Lkp_AnswerStatus_Bad)</f>
        <v/>
      </c>
      <c r="K19" s="46">
        <v>90000</v>
      </c>
      <c r="L19" s="80"/>
      <c r="M19" s="27" t="str">
        <f>IFERROR(IF(Tbl_A2_Syntax_01[[#This Row],[Is Y1 Less Than or Equal to Y2]]="","",IF(AND(_xlfn.ISFORMULA(Tbl_A2_Syntax_01[[#This Row],[Is Y1 Less Than or Equal to Y2]]),EXACT(Tbl_A2_Syntax_01[[#This Row],[Is Y1 Less Than or Equal to Y2]],Tbl_A2_Syntax_01[[#This Row],[Is Y1 Less Than or Equal to Y2 ANS]])),Rng_Lkp_AnswerStatus_Good,Rng_Lkp_AnswerStatus_Bad)),Rng_Lkp_AnswerStatus_Bad)</f>
        <v/>
      </c>
      <c r="N19" s="25" t="b">
        <v>0</v>
      </c>
      <c r="O19" s="80"/>
      <c r="P19" s="27" t="str">
        <f>IFERROR(IF(Tbl_A2_Syntax_01[[#This Row],[Is Y1 Equal to Y2]]="","",IF(AND(_xlfn.ISFORMULA(Tbl_A2_Syntax_01[[#This Row],[Is Y1 Equal to Y2]]),EXACT(Tbl_A2_Syntax_01[[#This Row],[Is Y1 Equal to Y2]],Tbl_A2_Syntax_01[[#This Row],[Is Y1 Equal to Y2 ANS]])),Rng_Lkp_AnswerStatus_Good,Rng_Lkp_AnswerStatus_Bad)),Rng_Lkp_AnswerStatus_Bad)</f>
        <v/>
      </c>
      <c r="Q19" s="81" t="b">
        <v>0</v>
      </c>
      <c r="R19" s="80"/>
      <c r="S19" s="48" t="str">
        <f>IFERROR(IF(Tbl_A2_Syntax_01[[#This Row],[Is Y1 Not Equal to Y2]]="","",IF(AND(_xlfn.ISFORMULA(Tbl_A2_Syntax_01[[#This Row],[Is Y1 Not Equal to Y2]]),EXACT(Tbl_A2_Syntax_01[[#This Row],[Is Y1 Not Equal to Y2]],Tbl_A2_Syntax_01[[#This Row],[Is Y1 Not Equal to Y2 ANS]])),Rng_Lkp_AnswerStatus_Good,Rng_Lkp_AnswerStatus_Bad)),Rng_Lkp_AnswerStatus_Bad)</f>
        <v/>
      </c>
      <c r="T19" s="81" t="b">
        <v>1</v>
      </c>
      <c r="U19" s="83"/>
      <c r="V19" s="48" t="str">
        <f>IFERROR(IF(Tbl_A2_Syntax_01[[#This Row],[Account ID: Full Name]]="","",IF(AND(_xlfn.ISFORMULA(Tbl_A2_Syntax_01[[#This Row],[Account ID: Full Name]]),EXACT(Tbl_A2_Syntax_01[[#This Row],[Account ID: Full Name]],Tbl_A2_Syntax_01[[#This Row],[Account ID: Full Name ANS]])),Rng_Lkp_AnswerStatus_Good,Rng_Lkp_AnswerStatus_Bad)),Rng_Lkp_AnswerStatus_Bad)</f>
        <v/>
      </c>
      <c r="W19" s="85" t="s">
        <v>228</v>
      </c>
    </row>
    <row r="20" spans="2:23" x14ac:dyDescent="0.25">
      <c r="B20" s="14">
        <v>2458</v>
      </c>
      <c r="C20" s="15" t="s">
        <v>18</v>
      </c>
      <c r="D20" s="87">
        <v>300</v>
      </c>
      <c r="E20" s="87">
        <v>800</v>
      </c>
      <c r="F20" s="78"/>
      <c r="G20" s="27" t="str">
        <f>IFERROR(IF(Tbl_A2_Syntax_01[[#This Row],[% Change (Y2 - Y1) / Y1]]="","",IF(AND(_xlfn.ISFORMULA(Tbl_A2_Syntax_01[[#This Row],[% Change (Y2 - Y1) / Y1]]),EXACT(Tbl_A2_Syntax_01[[#This Row],[% Change (Y2 - Y1) / Y1]],Tbl_A2_Syntax_01[[#This Row],[% Change (Y2 - Y1) / Y1 ANS]])),Rng_Lkp_AnswerStatus_Good,Rng_Lkp_AnswerStatus_Bad)),Rng_Lkp_AnswerStatus_Bad)</f>
        <v/>
      </c>
      <c r="H20" s="45">
        <v>1.6666666666666667</v>
      </c>
      <c r="I20" s="43"/>
      <c r="J20" s="27" t="str">
        <f>IFERROR(IF(Tbl_A2_Syntax_01[[#This Row],[Member Dues Y1^2]]="","",IF(AND(_xlfn.ISFORMULA(Tbl_A2_Syntax_01[[#This Row],[Member Dues Y1^2]]),EXACT(Tbl_A2_Syntax_01[[#This Row],[Member Dues Y1^2]],Tbl_A2_Syntax_01[[#This Row],[Membership Dues Y1^2 ANS]])),Rng_Lkp_AnswerStatus_Good,Rng_Lkp_AnswerStatus_Bad)),Rng_Lkp_AnswerStatus_Bad)</f>
        <v/>
      </c>
      <c r="K20" s="46">
        <v>90000</v>
      </c>
      <c r="L20" s="80"/>
      <c r="M20" s="27" t="str">
        <f>IFERROR(IF(Tbl_A2_Syntax_01[[#This Row],[Is Y1 Less Than or Equal to Y2]]="","",IF(AND(_xlfn.ISFORMULA(Tbl_A2_Syntax_01[[#This Row],[Is Y1 Less Than or Equal to Y2]]),EXACT(Tbl_A2_Syntax_01[[#This Row],[Is Y1 Less Than or Equal to Y2]],Tbl_A2_Syntax_01[[#This Row],[Is Y1 Less Than or Equal to Y2 ANS]])),Rng_Lkp_AnswerStatus_Good,Rng_Lkp_AnswerStatus_Bad)),Rng_Lkp_AnswerStatus_Bad)</f>
        <v/>
      </c>
      <c r="N20" s="25" t="b">
        <v>1</v>
      </c>
      <c r="O20" s="80"/>
      <c r="P20" s="27" t="str">
        <f>IFERROR(IF(Tbl_A2_Syntax_01[[#This Row],[Is Y1 Equal to Y2]]="","",IF(AND(_xlfn.ISFORMULA(Tbl_A2_Syntax_01[[#This Row],[Is Y1 Equal to Y2]]),EXACT(Tbl_A2_Syntax_01[[#This Row],[Is Y1 Equal to Y2]],Tbl_A2_Syntax_01[[#This Row],[Is Y1 Equal to Y2 ANS]])),Rng_Lkp_AnswerStatus_Good,Rng_Lkp_AnswerStatus_Bad)),Rng_Lkp_AnswerStatus_Bad)</f>
        <v/>
      </c>
      <c r="Q20" s="81" t="b">
        <v>0</v>
      </c>
      <c r="R20" s="80"/>
      <c r="S20" s="48" t="str">
        <f>IFERROR(IF(Tbl_A2_Syntax_01[[#This Row],[Is Y1 Not Equal to Y2]]="","",IF(AND(_xlfn.ISFORMULA(Tbl_A2_Syntax_01[[#This Row],[Is Y1 Not Equal to Y2]]),EXACT(Tbl_A2_Syntax_01[[#This Row],[Is Y1 Not Equal to Y2]],Tbl_A2_Syntax_01[[#This Row],[Is Y1 Not Equal to Y2 ANS]])),Rng_Lkp_AnswerStatus_Good,Rng_Lkp_AnswerStatus_Bad)),Rng_Lkp_AnswerStatus_Bad)</f>
        <v/>
      </c>
      <c r="T20" s="81" t="b">
        <v>1</v>
      </c>
      <c r="U20" s="83"/>
      <c r="V20" s="48" t="str">
        <f>IFERROR(IF(Tbl_A2_Syntax_01[[#This Row],[Account ID: Full Name]]="","",IF(AND(_xlfn.ISFORMULA(Tbl_A2_Syntax_01[[#This Row],[Account ID: Full Name]]),EXACT(Tbl_A2_Syntax_01[[#This Row],[Account ID: Full Name]],Tbl_A2_Syntax_01[[#This Row],[Account ID: Full Name ANS]])),Rng_Lkp_AnswerStatus_Good,Rng_Lkp_AnswerStatus_Bad)),Rng_Lkp_AnswerStatus_Bad)</f>
        <v/>
      </c>
      <c r="W20" s="85" t="s">
        <v>116</v>
      </c>
    </row>
    <row r="21" spans="2:23" x14ac:dyDescent="0.25">
      <c r="B21" s="14">
        <v>1495</v>
      </c>
      <c r="C21" s="15" t="s">
        <v>146</v>
      </c>
      <c r="D21" s="87">
        <v>180</v>
      </c>
      <c r="E21" s="87">
        <v>2000</v>
      </c>
      <c r="F21" s="78"/>
      <c r="G21" s="27" t="str">
        <f>IFERROR(IF(Tbl_A2_Syntax_01[[#This Row],[% Change (Y2 - Y1) / Y1]]="","",IF(AND(_xlfn.ISFORMULA(Tbl_A2_Syntax_01[[#This Row],[% Change (Y2 - Y1) / Y1]]),EXACT(Tbl_A2_Syntax_01[[#This Row],[% Change (Y2 - Y1) / Y1]],Tbl_A2_Syntax_01[[#This Row],[% Change (Y2 - Y1) / Y1 ANS]])),Rng_Lkp_AnswerStatus_Good,Rng_Lkp_AnswerStatus_Bad)),Rng_Lkp_AnswerStatus_Bad)</f>
        <v/>
      </c>
      <c r="H21" s="45">
        <v>10.111111111111111</v>
      </c>
      <c r="I21" s="43"/>
      <c r="J21" s="27" t="str">
        <f>IFERROR(IF(Tbl_A2_Syntax_01[[#This Row],[Member Dues Y1^2]]="","",IF(AND(_xlfn.ISFORMULA(Tbl_A2_Syntax_01[[#This Row],[Member Dues Y1^2]]),EXACT(Tbl_A2_Syntax_01[[#This Row],[Member Dues Y1^2]],Tbl_A2_Syntax_01[[#This Row],[Membership Dues Y1^2 ANS]])),Rng_Lkp_AnswerStatus_Good,Rng_Lkp_AnswerStatus_Bad)),Rng_Lkp_AnswerStatus_Bad)</f>
        <v/>
      </c>
      <c r="K21" s="46">
        <v>32400</v>
      </c>
      <c r="L21" s="80"/>
      <c r="M21" s="27" t="str">
        <f>IFERROR(IF(Tbl_A2_Syntax_01[[#This Row],[Is Y1 Less Than or Equal to Y2]]="","",IF(AND(_xlfn.ISFORMULA(Tbl_A2_Syntax_01[[#This Row],[Is Y1 Less Than or Equal to Y2]]),EXACT(Tbl_A2_Syntax_01[[#This Row],[Is Y1 Less Than or Equal to Y2]],Tbl_A2_Syntax_01[[#This Row],[Is Y1 Less Than or Equal to Y2 ANS]])),Rng_Lkp_AnswerStatus_Good,Rng_Lkp_AnswerStatus_Bad)),Rng_Lkp_AnswerStatus_Bad)</f>
        <v/>
      </c>
      <c r="N21" s="25" t="b">
        <v>1</v>
      </c>
      <c r="O21" s="80"/>
      <c r="P21" s="27" t="str">
        <f>IFERROR(IF(Tbl_A2_Syntax_01[[#This Row],[Is Y1 Equal to Y2]]="","",IF(AND(_xlfn.ISFORMULA(Tbl_A2_Syntax_01[[#This Row],[Is Y1 Equal to Y2]]),EXACT(Tbl_A2_Syntax_01[[#This Row],[Is Y1 Equal to Y2]],Tbl_A2_Syntax_01[[#This Row],[Is Y1 Equal to Y2 ANS]])),Rng_Lkp_AnswerStatus_Good,Rng_Lkp_AnswerStatus_Bad)),Rng_Lkp_AnswerStatus_Bad)</f>
        <v/>
      </c>
      <c r="Q21" s="81" t="b">
        <v>0</v>
      </c>
      <c r="R21" s="80"/>
      <c r="S21" s="48" t="str">
        <f>IFERROR(IF(Tbl_A2_Syntax_01[[#This Row],[Is Y1 Not Equal to Y2]]="","",IF(AND(_xlfn.ISFORMULA(Tbl_A2_Syntax_01[[#This Row],[Is Y1 Not Equal to Y2]]),EXACT(Tbl_A2_Syntax_01[[#This Row],[Is Y1 Not Equal to Y2]],Tbl_A2_Syntax_01[[#This Row],[Is Y1 Not Equal to Y2 ANS]])),Rng_Lkp_AnswerStatus_Good,Rng_Lkp_AnswerStatus_Bad)),Rng_Lkp_AnswerStatus_Bad)</f>
        <v/>
      </c>
      <c r="T21" s="81" t="b">
        <v>1</v>
      </c>
      <c r="U21" s="83"/>
      <c r="V21" s="48" t="str">
        <f>IFERROR(IF(Tbl_A2_Syntax_01[[#This Row],[Account ID: Full Name]]="","",IF(AND(_xlfn.ISFORMULA(Tbl_A2_Syntax_01[[#This Row],[Account ID: Full Name]]),EXACT(Tbl_A2_Syntax_01[[#This Row],[Account ID: Full Name]],Tbl_A2_Syntax_01[[#This Row],[Account ID: Full Name ANS]])),Rng_Lkp_AnswerStatus_Good,Rng_Lkp_AnswerStatus_Bad)),Rng_Lkp_AnswerStatus_Bad)</f>
        <v/>
      </c>
      <c r="W21" s="85" t="s">
        <v>150</v>
      </c>
    </row>
    <row r="22" spans="2:23" x14ac:dyDescent="0.25">
      <c r="B22" s="14">
        <v>1131</v>
      </c>
      <c r="C22" s="15" t="s">
        <v>19</v>
      </c>
      <c r="D22" s="87">
        <v>200</v>
      </c>
      <c r="E22" s="87">
        <v>200</v>
      </c>
      <c r="F22" s="78"/>
      <c r="G22" s="27" t="str">
        <f>IFERROR(IF(Tbl_A2_Syntax_01[[#This Row],[% Change (Y2 - Y1) / Y1]]="","",IF(AND(_xlfn.ISFORMULA(Tbl_A2_Syntax_01[[#This Row],[% Change (Y2 - Y1) / Y1]]),EXACT(Tbl_A2_Syntax_01[[#This Row],[% Change (Y2 - Y1) / Y1]],Tbl_A2_Syntax_01[[#This Row],[% Change (Y2 - Y1) / Y1 ANS]])),Rng_Lkp_AnswerStatus_Good,Rng_Lkp_AnswerStatus_Bad)),Rng_Lkp_AnswerStatus_Bad)</f>
        <v/>
      </c>
      <c r="H22" s="45">
        <v>0</v>
      </c>
      <c r="I22" s="43"/>
      <c r="J22" s="27" t="str">
        <f>IFERROR(IF(Tbl_A2_Syntax_01[[#This Row],[Member Dues Y1^2]]="","",IF(AND(_xlfn.ISFORMULA(Tbl_A2_Syntax_01[[#This Row],[Member Dues Y1^2]]),EXACT(Tbl_A2_Syntax_01[[#This Row],[Member Dues Y1^2]],Tbl_A2_Syntax_01[[#This Row],[Membership Dues Y1^2 ANS]])),Rng_Lkp_AnswerStatus_Good,Rng_Lkp_AnswerStatus_Bad)),Rng_Lkp_AnswerStatus_Bad)</f>
        <v/>
      </c>
      <c r="K22" s="46">
        <v>40000</v>
      </c>
      <c r="L22" s="80"/>
      <c r="M22" s="27" t="str">
        <f>IFERROR(IF(Tbl_A2_Syntax_01[[#This Row],[Is Y1 Less Than or Equal to Y2]]="","",IF(AND(_xlfn.ISFORMULA(Tbl_A2_Syntax_01[[#This Row],[Is Y1 Less Than or Equal to Y2]]),EXACT(Tbl_A2_Syntax_01[[#This Row],[Is Y1 Less Than or Equal to Y2]],Tbl_A2_Syntax_01[[#This Row],[Is Y1 Less Than or Equal to Y2 ANS]])),Rng_Lkp_AnswerStatus_Good,Rng_Lkp_AnswerStatus_Bad)),Rng_Lkp_AnswerStatus_Bad)</f>
        <v/>
      </c>
      <c r="N22" s="25" t="b">
        <v>1</v>
      </c>
      <c r="O22" s="80"/>
      <c r="P22" s="27" t="str">
        <f>IFERROR(IF(Tbl_A2_Syntax_01[[#This Row],[Is Y1 Equal to Y2]]="","",IF(AND(_xlfn.ISFORMULA(Tbl_A2_Syntax_01[[#This Row],[Is Y1 Equal to Y2]]),EXACT(Tbl_A2_Syntax_01[[#This Row],[Is Y1 Equal to Y2]],Tbl_A2_Syntax_01[[#This Row],[Is Y1 Equal to Y2 ANS]])),Rng_Lkp_AnswerStatus_Good,Rng_Lkp_AnswerStatus_Bad)),Rng_Lkp_AnswerStatus_Bad)</f>
        <v/>
      </c>
      <c r="Q22" s="81" t="b">
        <v>1</v>
      </c>
      <c r="R22" s="80"/>
      <c r="S22" s="48" t="str">
        <f>IFERROR(IF(Tbl_A2_Syntax_01[[#This Row],[Is Y1 Not Equal to Y2]]="","",IF(AND(_xlfn.ISFORMULA(Tbl_A2_Syntax_01[[#This Row],[Is Y1 Not Equal to Y2]]),EXACT(Tbl_A2_Syntax_01[[#This Row],[Is Y1 Not Equal to Y2]],Tbl_A2_Syntax_01[[#This Row],[Is Y1 Not Equal to Y2 ANS]])),Rng_Lkp_AnswerStatus_Good,Rng_Lkp_AnswerStatus_Bad)),Rng_Lkp_AnswerStatus_Bad)</f>
        <v/>
      </c>
      <c r="T22" s="81" t="b">
        <v>0</v>
      </c>
      <c r="U22" s="83"/>
      <c r="V22" s="48" t="str">
        <f>IFERROR(IF(Tbl_A2_Syntax_01[[#This Row],[Account ID: Full Name]]="","",IF(AND(_xlfn.ISFORMULA(Tbl_A2_Syntax_01[[#This Row],[Account ID: Full Name]]),EXACT(Tbl_A2_Syntax_01[[#This Row],[Account ID: Full Name]],Tbl_A2_Syntax_01[[#This Row],[Account ID: Full Name ANS]])),Rng_Lkp_AnswerStatus_Good,Rng_Lkp_AnswerStatus_Bad)),Rng_Lkp_AnswerStatus_Bad)</f>
        <v/>
      </c>
      <c r="W22" s="85" t="s">
        <v>117</v>
      </c>
    </row>
    <row r="23" spans="2:23" x14ac:dyDescent="0.25">
      <c r="B23" s="14">
        <v>2314</v>
      </c>
      <c r="C23" s="15" t="s">
        <v>147</v>
      </c>
      <c r="D23" s="87">
        <v>180</v>
      </c>
      <c r="E23" s="87">
        <v>320</v>
      </c>
      <c r="F23" s="78"/>
      <c r="G23" s="27" t="str">
        <f>IFERROR(IF(Tbl_A2_Syntax_01[[#This Row],[% Change (Y2 - Y1) / Y1]]="","",IF(AND(_xlfn.ISFORMULA(Tbl_A2_Syntax_01[[#This Row],[% Change (Y2 - Y1) / Y1]]),EXACT(Tbl_A2_Syntax_01[[#This Row],[% Change (Y2 - Y1) / Y1]],Tbl_A2_Syntax_01[[#This Row],[% Change (Y2 - Y1) / Y1 ANS]])),Rng_Lkp_AnswerStatus_Good,Rng_Lkp_AnswerStatus_Bad)),Rng_Lkp_AnswerStatus_Bad)</f>
        <v/>
      </c>
      <c r="H23" s="45">
        <v>0.77777777777777779</v>
      </c>
      <c r="I23" s="43"/>
      <c r="J23" s="27" t="str">
        <f>IFERROR(IF(Tbl_A2_Syntax_01[[#This Row],[Member Dues Y1^2]]="","",IF(AND(_xlfn.ISFORMULA(Tbl_A2_Syntax_01[[#This Row],[Member Dues Y1^2]]),EXACT(Tbl_A2_Syntax_01[[#This Row],[Member Dues Y1^2]],Tbl_A2_Syntax_01[[#This Row],[Membership Dues Y1^2 ANS]])),Rng_Lkp_AnswerStatus_Good,Rng_Lkp_AnswerStatus_Bad)),Rng_Lkp_AnswerStatus_Bad)</f>
        <v/>
      </c>
      <c r="K23" s="46">
        <v>32400</v>
      </c>
      <c r="L23" s="80"/>
      <c r="M23" s="27" t="str">
        <f>IFERROR(IF(Tbl_A2_Syntax_01[[#This Row],[Is Y1 Less Than or Equal to Y2]]="","",IF(AND(_xlfn.ISFORMULA(Tbl_A2_Syntax_01[[#This Row],[Is Y1 Less Than or Equal to Y2]]),EXACT(Tbl_A2_Syntax_01[[#This Row],[Is Y1 Less Than or Equal to Y2]],Tbl_A2_Syntax_01[[#This Row],[Is Y1 Less Than or Equal to Y2 ANS]])),Rng_Lkp_AnswerStatus_Good,Rng_Lkp_AnswerStatus_Bad)),Rng_Lkp_AnswerStatus_Bad)</f>
        <v/>
      </c>
      <c r="N23" s="25" t="b">
        <v>1</v>
      </c>
      <c r="O23" s="80"/>
      <c r="P23" s="27" t="str">
        <f>IFERROR(IF(Tbl_A2_Syntax_01[[#This Row],[Is Y1 Equal to Y2]]="","",IF(AND(_xlfn.ISFORMULA(Tbl_A2_Syntax_01[[#This Row],[Is Y1 Equal to Y2]]),EXACT(Tbl_A2_Syntax_01[[#This Row],[Is Y1 Equal to Y2]],Tbl_A2_Syntax_01[[#This Row],[Is Y1 Equal to Y2 ANS]])),Rng_Lkp_AnswerStatus_Good,Rng_Lkp_AnswerStatus_Bad)),Rng_Lkp_AnswerStatus_Bad)</f>
        <v/>
      </c>
      <c r="Q23" s="81" t="b">
        <v>0</v>
      </c>
      <c r="R23" s="80"/>
      <c r="S23" s="48" t="str">
        <f>IFERROR(IF(Tbl_A2_Syntax_01[[#This Row],[Is Y1 Not Equal to Y2]]="","",IF(AND(_xlfn.ISFORMULA(Tbl_A2_Syntax_01[[#This Row],[Is Y1 Not Equal to Y2]]),EXACT(Tbl_A2_Syntax_01[[#This Row],[Is Y1 Not Equal to Y2]],Tbl_A2_Syntax_01[[#This Row],[Is Y1 Not Equal to Y2 ANS]])),Rng_Lkp_AnswerStatus_Good,Rng_Lkp_AnswerStatus_Bad)),Rng_Lkp_AnswerStatus_Bad)</f>
        <v/>
      </c>
      <c r="T23" s="81" t="b">
        <v>1</v>
      </c>
      <c r="U23" s="83"/>
      <c r="V23" s="48" t="str">
        <f>IFERROR(IF(Tbl_A2_Syntax_01[[#This Row],[Account ID: Full Name]]="","",IF(AND(_xlfn.ISFORMULA(Tbl_A2_Syntax_01[[#This Row],[Account ID: Full Name]]),EXACT(Tbl_A2_Syntax_01[[#This Row],[Account ID: Full Name]],Tbl_A2_Syntax_01[[#This Row],[Account ID: Full Name ANS]])),Rng_Lkp_AnswerStatus_Good,Rng_Lkp_AnswerStatus_Bad)),Rng_Lkp_AnswerStatus_Bad)</f>
        <v/>
      </c>
      <c r="W23" s="85" t="s">
        <v>229</v>
      </c>
    </row>
    <row r="24" spans="2:23" x14ac:dyDescent="0.25">
      <c r="B24" s="14">
        <v>2304</v>
      </c>
      <c r="C24" s="15" t="s">
        <v>20</v>
      </c>
      <c r="D24" s="87">
        <v>250</v>
      </c>
      <c r="E24" s="87">
        <v>500</v>
      </c>
      <c r="F24" s="78"/>
      <c r="G24" s="27" t="str">
        <f>IFERROR(IF(Tbl_A2_Syntax_01[[#This Row],[% Change (Y2 - Y1) / Y1]]="","",IF(AND(_xlfn.ISFORMULA(Tbl_A2_Syntax_01[[#This Row],[% Change (Y2 - Y1) / Y1]]),EXACT(Tbl_A2_Syntax_01[[#This Row],[% Change (Y2 - Y1) / Y1]],Tbl_A2_Syntax_01[[#This Row],[% Change (Y2 - Y1) / Y1 ANS]])),Rng_Lkp_AnswerStatus_Good,Rng_Lkp_AnswerStatus_Bad)),Rng_Lkp_AnswerStatus_Bad)</f>
        <v/>
      </c>
      <c r="H24" s="45">
        <v>1</v>
      </c>
      <c r="I24" s="43"/>
      <c r="J24" s="27" t="str">
        <f>IFERROR(IF(Tbl_A2_Syntax_01[[#This Row],[Member Dues Y1^2]]="","",IF(AND(_xlfn.ISFORMULA(Tbl_A2_Syntax_01[[#This Row],[Member Dues Y1^2]]),EXACT(Tbl_A2_Syntax_01[[#This Row],[Member Dues Y1^2]],Tbl_A2_Syntax_01[[#This Row],[Membership Dues Y1^2 ANS]])),Rng_Lkp_AnswerStatus_Good,Rng_Lkp_AnswerStatus_Bad)),Rng_Lkp_AnswerStatus_Bad)</f>
        <v/>
      </c>
      <c r="K24" s="46">
        <v>62500</v>
      </c>
      <c r="L24" s="80"/>
      <c r="M24" s="27" t="str">
        <f>IFERROR(IF(Tbl_A2_Syntax_01[[#This Row],[Is Y1 Less Than or Equal to Y2]]="","",IF(AND(_xlfn.ISFORMULA(Tbl_A2_Syntax_01[[#This Row],[Is Y1 Less Than or Equal to Y2]]),EXACT(Tbl_A2_Syntax_01[[#This Row],[Is Y1 Less Than or Equal to Y2]],Tbl_A2_Syntax_01[[#This Row],[Is Y1 Less Than or Equal to Y2 ANS]])),Rng_Lkp_AnswerStatus_Good,Rng_Lkp_AnswerStatus_Bad)),Rng_Lkp_AnswerStatus_Bad)</f>
        <v/>
      </c>
      <c r="N24" s="25" t="b">
        <v>1</v>
      </c>
      <c r="O24" s="80"/>
      <c r="P24" s="27" t="str">
        <f>IFERROR(IF(Tbl_A2_Syntax_01[[#This Row],[Is Y1 Equal to Y2]]="","",IF(AND(_xlfn.ISFORMULA(Tbl_A2_Syntax_01[[#This Row],[Is Y1 Equal to Y2]]),EXACT(Tbl_A2_Syntax_01[[#This Row],[Is Y1 Equal to Y2]],Tbl_A2_Syntax_01[[#This Row],[Is Y1 Equal to Y2 ANS]])),Rng_Lkp_AnswerStatus_Good,Rng_Lkp_AnswerStatus_Bad)),Rng_Lkp_AnswerStatus_Bad)</f>
        <v/>
      </c>
      <c r="Q24" s="81" t="b">
        <v>0</v>
      </c>
      <c r="R24" s="80"/>
      <c r="S24" s="48" t="str">
        <f>IFERROR(IF(Tbl_A2_Syntax_01[[#This Row],[Is Y1 Not Equal to Y2]]="","",IF(AND(_xlfn.ISFORMULA(Tbl_A2_Syntax_01[[#This Row],[Is Y1 Not Equal to Y2]]),EXACT(Tbl_A2_Syntax_01[[#This Row],[Is Y1 Not Equal to Y2]],Tbl_A2_Syntax_01[[#This Row],[Is Y1 Not Equal to Y2 ANS]])),Rng_Lkp_AnswerStatus_Good,Rng_Lkp_AnswerStatus_Bad)),Rng_Lkp_AnswerStatus_Bad)</f>
        <v/>
      </c>
      <c r="T24" s="81" t="b">
        <v>1</v>
      </c>
      <c r="U24" s="83"/>
      <c r="V24" s="48" t="str">
        <f>IFERROR(IF(Tbl_A2_Syntax_01[[#This Row],[Account ID: Full Name]]="","",IF(AND(_xlfn.ISFORMULA(Tbl_A2_Syntax_01[[#This Row],[Account ID: Full Name]]),EXACT(Tbl_A2_Syntax_01[[#This Row],[Account ID: Full Name]],Tbl_A2_Syntax_01[[#This Row],[Account ID: Full Name ANS]])),Rng_Lkp_AnswerStatus_Good,Rng_Lkp_AnswerStatus_Bad)),Rng_Lkp_AnswerStatus_Bad)</f>
        <v/>
      </c>
      <c r="W24" s="85" t="s">
        <v>118</v>
      </c>
    </row>
    <row r="25" spans="2:23" x14ac:dyDescent="0.25">
      <c r="B25" s="14">
        <v>3694</v>
      </c>
      <c r="C25" s="15" t="s">
        <v>21</v>
      </c>
      <c r="D25" s="87">
        <v>250</v>
      </c>
      <c r="E25" s="87">
        <v>250</v>
      </c>
      <c r="F25" s="78"/>
      <c r="G25" s="27" t="str">
        <f>IFERROR(IF(Tbl_A2_Syntax_01[[#This Row],[% Change (Y2 - Y1) / Y1]]="","",IF(AND(_xlfn.ISFORMULA(Tbl_A2_Syntax_01[[#This Row],[% Change (Y2 - Y1) / Y1]]),EXACT(Tbl_A2_Syntax_01[[#This Row],[% Change (Y2 - Y1) / Y1]],Tbl_A2_Syntax_01[[#This Row],[% Change (Y2 - Y1) / Y1 ANS]])),Rng_Lkp_AnswerStatus_Good,Rng_Lkp_AnswerStatus_Bad)),Rng_Lkp_AnswerStatus_Bad)</f>
        <v/>
      </c>
      <c r="H25" s="45">
        <v>0</v>
      </c>
      <c r="I25" s="43"/>
      <c r="J25" s="27" t="str">
        <f>IFERROR(IF(Tbl_A2_Syntax_01[[#This Row],[Member Dues Y1^2]]="","",IF(AND(_xlfn.ISFORMULA(Tbl_A2_Syntax_01[[#This Row],[Member Dues Y1^2]]),EXACT(Tbl_A2_Syntax_01[[#This Row],[Member Dues Y1^2]],Tbl_A2_Syntax_01[[#This Row],[Membership Dues Y1^2 ANS]])),Rng_Lkp_AnswerStatus_Good,Rng_Lkp_AnswerStatus_Bad)),Rng_Lkp_AnswerStatus_Bad)</f>
        <v/>
      </c>
      <c r="K25" s="46">
        <v>62500</v>
      </c>
      <c r="L25" s="80"/>
      <c r="M25" s="27" t="str">
        <f>IFERROR(IF(Tbl_A2_Syntax_01[[#This Row],[Is Y1 Less Than or Equal to Y2]]="","",IF(AND(_xlfn.ISFORMULA(Tbl_A2_Syntax_01[[#This Row],[Is Y1 Less Than or Equal to Y2]]),EXACT(Tbl_A2_Syntax_01[[#This Row],[Is Y1 Less Than or Equal to Y2]],Tbl_A2_Syntax_01[[#This Row],[Is Y1 Less Than or Equal to Y2 ANS]])),Rng_Lkp_AnswerStatus_Good,Rng_Lkp_AnswerStatus_Bad)),Rng_Lkp_AnswerStatus_Bad)</f>
        <v/>
      </c>
      <c r="N25" s="25" t="b">
        <v>1</v>
      </c>
      <c r="O25" s="80"/>
      <c r="P25" s="27" t="str">
        <f>IFERROR(IF(Tbl_A2_Syntax_01[[#This Row],[Is Y1 Equal to Y2]]="","",IF(AND(_xlfn.ISFORMULA(Tbl_A2_Syntax_01[[#This Row],[Is Y1 Equal to Y2]]),EXACT(Tbl_A2_Syntax_01[[#This Row],[Is Y1 Equal to Y2]],Tbl_A2_Syntax_01[[#This Row],[Is Y1 Equal to Y2 ANS]])),Rng_Lkp_AnswerStatus_Good,Rng_Lkp_AnswerStatus_Bad)),Rng_Lkp_AnswerStatus_Bad)</f>
        <v/>
      </c>
      <c r="Q25" s="81" t="b">
        <v>1</v>
      </c>
      <c r="R25" s="80"/>
      <c r="S25" s="48" t="str">
        <f>IFERROR(IF(Tbl_A2_Syntax_01[[#This Row],[Is Y1 Not Equal to Y2]]="","",IF(AND(_xlfn.ISFORMULA(Tbl_A2_Syntax_01[[#This Row],[Is Y1 Not Equal to Y2]]),EXACT(Tbl_A2_Syntax_01[[#This Row],[Is Y1 Not Equal to Y2]],Tbl_A2_Syntax_01[[#This Row],[Is Y1 Not Equal to Y2 ANS]])),Rng_Lkp_AnswerStatus_Good,Rng_Lkp_AnswerStatus_Bad)),Rng_Lkp_AnswerStatus_Bad)</f>
        <v/>
      </c>
      <c r="T25" s="81" t="b">
        <v>0</v>
      </c>
      <c r="U25" s="83"/>
      <c r="V25" s="48" t="str">
        <f>IFERROR(IF(Tbl_A2_Syntax_01[[#This Row],[Account ID: Full Name]]="","",IF(AND(_xlfn.ISFORMULA(Tbl_A2_Syntax_01[[#This Row],[Account ID: Full Name]]),EXACT(Tbl_A2_Syntax_01[[#This Row],[Account ID: Full Name]],Tbl_A2_Syntax_01[[#This Row],[Account ID: Full Name ANS]])),Rng_Lkp_AnswerStatus_Good,Rng_Lkp_AnswerStatus_Bad)),Rng_Lkp_AnswerStatus_Bad)</f>
        <v/>
      </c>
      <c r="W25" s="85" t="s">
        <v>119</v>
      </c>
    </row>
    <row r="26" spans="2:23" x14ac:dyDescent="0.25">
      <c r="B26" s="14">
        <v>4522</v>
      </c>
      <c r="C26" s="15" t="s">
        <v>22</v>
      </c>
      <c r="D26" s="87">
        <v>125</v>
      </c>
      <c r="E26" s="87">
        <v>75</v>
      </c>
      <c r="F26" s="78"/>
      <c r="G26" s="27" t="str">
        <f>IFERROR(IF(Tbl_A2_Syntax_01[[#This Row],[% Change (Y2 - Y1) / Y1]]="","",IF(AND(_xlfn.ISFORMULA(Tbl_A2_Syntax_01[[#This Row],[% Change (Y2 - Y1) / Y1]]),EXACT(Tbl_A2_Syntax_01[[#This Row],[% Change (Y2 - Y1) / Y1]],Tbl_A2_Syntax_01[[#This Row],[% Change (Y2 - Y1) / Y1 ANS]])),Rng_Lkp_AnswerStatus_Good,Rng_Lkp_AnswerStatus_Bad)),Rng_Lkp_AnswerStatus_Bad)</f>
        <v/>
      </c>
      <c r="H26" s="45">
        <v>-0.4</v>
      </c>
      <c r="I26" s="43"/>
      <c r="J26" s="27" t="str">
        <f>IFERROR(IF(Tbl_A2_Syntax_01[[#This Row],[Member Dues Y1^2]]="","",IF(AND(_xlfn.ISFORMULA(Tbl_A2_Syntax_01[[#This Row],[Member Dues Y1^2]]),EXACT(Tbl_A2_Syntax_01[[#This Row],[Member Dues Y1^2]],Tbl_A2_Syntax_01[[#This Row],[Membership Dues Y1^2 ANS]])),Rng_Lkp_AnswerStatus_Good,Rng_Lkp_AnswerStatus_Bad)),Rng_Lkp_AnswerStatus_Bad)</f>
        <v/>
      </c>
      <c r="K26" s="46">
        <v>15625</v>
      </c>
      <c r="L26" s="80"/>
      <c r="M26" s="27" t="str">
        <f>IFERROR(IF(Tbl_A2_Syntax_01[[#This Row],[Is Y1 Less Than or Equal to Y2]]="","",IF(AND(_xlfn.ISFORMULA(Tbl_A2_Syntax_01[[#This Row],[Is Y1 Less Than or Equal to Y2]]),EXACT(Tbl_A2_Syntax_01[[#This Row],[Is Y1 Less Than or Equal to Y2]],Tbl_A2_Syntax_01[[#This Row],[Is Y1 Less Than or Equal to Y2 ANS]])),Rng_Lkp_AnswerStatus_Good,Rng_Lkp_AnswerStatus_Bad)),Rng_Lkp_AnswerStatus_Bad)</f>
        <v/>
      </c>
      <c r="N26" s="25" t="b">
        <v>0</v>
      </c>
      <c r="O26" s="80"/>
      <c r="P26" s="27" t="str">
        <f>IFERROR(IF(Tbl_A2_Syntax_01[[#This Row],[Is Y1 Equal to Y2]]="","",IF(AND(_xlfn.ISFORMULA(Tbl_A2_Syntax_01[[#This Row],[Is Y1 Equal to Y2]]),EXACT(Tbl_A2_Syntax_01[[#This Row],[Is Y1 Equal to Y2]],Tbl_A2_Syntax_01[[#This Row],[Is Y1 Equal to Y2 ANS]])),Rng_Lkp_AnswerStatus_Good,Rng_Lkp_AnswerStatus_Bad)),Rng_Lkp_AnswerStatus_Bad)</f>
        <v/>
      </c>
      <c r="Q26" s="81" t="b">
        <v>0</v>
      </c>
      <c r="R26" s="80"/>
      <c r="S26" s="48" t="str">
        <f>IFERROR(IF(Tbl_A2_Syntax_01[[#This Row],[Is Y1 Not Equal to Y2]]="","",IF(AND(_xlfn.ISFORMULA(Tbl_A2_Syntax_01[[#This Row],[Is Y1 Not Equal to Y2]]),EXACT(Tbl_A2_Syntax_01[[#This Row],[Is Y1 Not Equal to Y2]],Tbl_A2_Syntax_01[[#This Row],[Is Y1 Not Equal to Y2 ANS]])),Rng_Lkp_AnswerStatus_Good,Rng_Lkp_AnswerStatus_Bad)),Rng_Lkp_AnswerStatus_Bad)</f>
        <v/>
      </c>
      <c r="T26" s="81" t="b">
        <v>1</v>
      </c>
      <c r="U26" s="83"/>
      <c r="V26" s="48" t="str">
        <f>IFERROR(IF(Tbl_A2_Syntax_01[[#This Row],[Account ID: Full Name]]="","",IF(AND(_xlfn.ISFORMULA(Tbl_A2_Syntax_01[[#This Row],[Account ID: Full Name]]),EXACT(Tbl_A2_Syntax_01[[#This Row],[Account ID: Full Name]],Tbl_A2_Syntax_01[[#This Row],[Account ID: Full Name ANS]])),Rng_Lkp_AnswerStatus_Good,Rng_Lkp_AnswerStatus_Bad)),Rng_Lkp_AnswerStatus_Bad)</f>
        <v/>
      </c>
      <c r="W26" s="85" t="s">
        <v>120</v>
      </c>
    </row>
    <row r="27" spans="2:23" x14ac:dyDescent="0.25">
      <c r="B27" s="14">
        <v>1198</v>
      </c>
      <c r="C27" s="15" t="s">
        <v>148</v>
      </c>
      <c r="D27" s="87">
        <v>1575</v>
      </c>
      <c r="E27" s="87">
        <v>575</v>
      </c>
      <c r="F27" s="78"/>
      <c r="G27" s="27" t="str">
        <f>IFERROR(IF(Tbl_A2_Syntax_01[[#This Row],[% Change (Y2 - Y1) / Y1]]="","",IF(AND(_xlfn.ISFORMULA(Tbl_A2_Syntax_01[[#This Row],[% Change (Y2 - Y1) / Y1]]),EXACT(Tbl_A2_Syntax_01[[#This Row],[% Change (Y2 - Y1) / Y1]],Tbl_A2_Syntax_01[[#This Row],[% Change (Y2 - Y1) / Y1 ANS]])),Rng_Lkp_AnswerStatus_Good,Rng_Lkp_AnswerStatus_Bad)),Rng_Lkp_AnswerStatus_Bad)</f>
        <v/>
      </c>
      <c r="H27" s="45">
        <v>-0.63492063492063489</v>
      </c>
      <c r="I27" s="43"/>
      <c r="J27" s="27" t="str">
        <f>IFERROR(IF(Tbl_A2_Syntax_01[[#This Row],[Member Dues Y1^2]]="","",IF(AND(_xlfn.ISFORMULA(Tbl_A2_Syntax_01[[#This Row],[Member Dues Y1^2]]),EXACT(Tbl_A2_Syntax_01[[#This Row],[Member Dues Y1^2]],Tbl_A2_Syntax_01[[#This Row],[Membership Dues Y1^2 ANS]])),Rng_Lkp_AnswerStatus_Good,Rng_Lkp_AnswerStatus_Bad)),Rng_Lkp_AnswerStatus_Bad)</f>
        <v/>
      </c>
      <c r="K27" s="46">
        <v>2480625</v>
      </c>
      <c r="L27" s="80"/>
      <c r="M27" s="27" t="str">
        <f>IFERROR(IF(Tbl_A2_Syntax_01[[#This Row],[Is Y1 Less Than or Equal to Y2]]="","",IF(AND(_xlfn.ISFORMULA(Tbl_A2_Syntax_01[[#This Row],[Is Y1 Less Than or Equal to Y2]]),EXACT(Tbl_A2_Syntax_01[[#This Row],[Is Y1 Less Than or Equal to Y2]],Tbl_A2_Syntax_01[[#This Row],[Is Y1 Less Than or Equal to Y2 ANS]])),Rng_Lkp_AnswerStatus_Good,Rng_Lkp_AnswerStatus_Bad)),Rng_Lkp_AnswerStatus_Bad)</f>
        <v/>
      </c>
      <c r="N27" s="25" t="b">
        <v>0</v>
      </c>
      <c r="O27" s="80"/>
      <c r="P27" s="27" t="str">
        <f>IFERROR(IF(Tbl_A2_Syntax_01[[#This Row],[Is Y1 Equal to Y2]]="","",IF(AND(_xlfn.ISFORMULA(Tbl_A2_Syntax_01[[#This Row],[Is Y1 Equal to Y2]]),EXACT(Tbl_A2_Syntax_01[[#This Row],[Is Y1 Equal to Y2]],Tbl_A2_Syntax_01[[#This Row],[Is Y1 Equal to Y2 ANS]])),Rng_Lkp_AnswerStatus_Good,Rng_Lkp_AnswerStatus_Bad)),Rng_Lkp_AnswerStatus_Bad)</f>
        <v/>
      </c>
      <c r="Q27" s="81" t="b">
        <v>0</v>
      </c>
      <c r="R27" s="80"/>
      <c r="S27" s="48" t="str">
        <f>IFERROR(IF(Tbl_A2_Syntax_01[[#This Row],[Is Y1 Not Equal to Y2]]="","",IF(AND(_xlfn.ISFORMULA(Tbl_A2_Syntax_01[[#This Row],[Is Y1 Not Equal to Y2]]),EXACT(Tbl_A2_Syntax_01[[#This Row],[Is Y1 Not Equal to Y2]],Tbl_A2_Syntax_01[[#This Row],[Is Y1 Not Equal to Y2 ANS]])),Rng_Lkp_AnswerStatus_Good,Rng_Lkp_AnswerStatus_Bad)),Rng_Lkp_AnswerStatus_Bad)</f>
        <v/>
      </c>
      <c r="T27" s="81" t="b">
        <v>1</v>
      </c>
      <c r="U27" s="83"/>
      <c r="V27" s="48" t="str">
        <f>IFERROR(IF(Tbl_A2_Syntax_01[[#This Row],[Account ID: Full Name]]="","",IF(AND(_xlfn.ISFORMULA(Tbl_A2_Syntax_01[[#This Row],[Account ID: Full Name]]),EXACT(Tbl_A2_Syntax_01[[#This Row],[Account ID: Full Name]],Tbl_A2_Syntax_01[[#This Row],[Account ID: Full Name ANS]])),Rng_Lkp_AnswerStatus_Good,Rng_Lkp_AnswerStatus_Bad)),Rng_Lkp_AnswerStatus_Bad)</f>
        <v/>
      </c>
      <c r="W27" s="85" t="s">
        <v>151</v>
      </c>
    </row>
  </sheetData>
  <conditionalFormatting sqref="B5:B6 G6 J6 M6 P6 S6 V6">
    <cfRule type="colorScale" priority="1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B8:W27">
    <cfRule type="cellIs" dxfId="275" priority="2" operator="equal">
      <formula>Rng_Lkp_AnswerStatus_Bad</formula>
    </cfRule>
    <cfRule type="cellIs" dxfId="274" priority="3" operator="equal">
      <formula>Rng_Lkp_AnswerStatus_Good</formula>
    </cfRule>
  </conditionalFormatting>
  <pageMargins left="0.7" right="0.7" top="0.75" bottom="0.75" header="0.3" footer="0.3"/>
  <pageSetup paperSize="121" orientation="portrait" horizontalDpi="300" verticalDpi="300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D4E3A-1A45-4C9E-A29F-9A0285C370AE}">
  <sheetPr>
    <tabColor theme="7"/>
  </sheetPr>
  <dimension ref="A1:X27"/>
  <sheetViews>
    <sheetView showGridLines="0" zoomScaleNormal="10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F8" sqref="F8"/>
    </sheetView>
  </sheetViews>
  <sheetFormatPr defaultColWidth="9.140625" defaultRowHeight="15" outlineLevelRow="1" outlineLevelCol="1" x14ac:dyDescent="0.25"/>
  <cols>
    <col min="1" max="1" width="2.5703125" style="10" customWidth="1"/>
    <col min="2" max="2" width="8.140625" style="10" bestFit="1" customWidth="1"/>
    <col min="3" max="3" width="13.85546875" style="10" bestFit="1" customWidth="1"/>
    <col min="4" max="5" width="8.7109375" style="10" bestFit="1" customWidth="1"/>
    <col min="6" max="6" width="12.140625" style="10" bestFit="1" customWidth="1"/>
    <col min="7" max="7" width="8.140625" style="10" bestFit="1" customWidth="1"/>
    <col min="8" max="8" width="10.28515625" style="10" hidden="1" customWidth="1" outlineLevel="1"/>
    <col min="9" max="9" width="12.7109375" style="10" bestFit="1" customWidth="1" collapsed="1"/>
    <col min="10" max="10" width="8.140625" style="10" bestFit="1" customWidth="1"/>
    <col min="11" max="11" width="13.42578125" style="10" hidden="1" customWidth="1" outlineLevel="1"/>
    <col min="12" max="12" width="10.7109375" style="10" customWidth="1" collapsed="1"/>
    <col min="13" max="13" width="8.140625" style="10" bestFit="1" customWidth="1"/>
    <col min="14" max="14" width="13.85546875" style="10" hidden="1" customWidth="1" outlineLevel="1"/>
    <col min="15" max="15" width="7.7109375" style="10" customWidth="1" collapsed="1"/>
    <col min="16" max="16" width="8.140625" style="10" bestFit="1" customWidth="1"/>
    <col min="17" max="17" width="8.85546875" style="10" hidden="1" customWidth="1" outlineLevel="1"/>
    <col min="18" max="18" width="8.7109375" style="10" customWidth="1" collapsed="1"/>
    <col min="19" max="19" width="8.140625" style="10" bestFit="1" customWidth="1"/>
    <col min="20" max="20" width="9.7109375" style="10" hidden="1" customWidth="1" outlineLevel="1"/>
    <col min="21" max="21" width="22.7109375" style="10" bestFit="1" customWidth="1" collapsed="1"/>
    <col min="22" max="22" width="8.140625" style="10" bestFit="1" customWidth="1"/>
    <col min="23" max="23" width="23.42578125" style="10" hidden="1" customWidth="1" outlineLevel="1"/>
    <col min="24" max="24" width="9.140625" style="10" collapsed="1"/>
    <col min="25" max="16384" width="9.140625" style="10"/>
  </cols>
  <sheetData>
    <row r="1" spans="1:23" s="8" customFormat="1" ht="21" x14ac:dyDescent="0.35">
      <c r="A1" s="93" t="s">
        <v>124</v>
      </c>
      <c r="B1" s="4"/>
    </row>
    <row r="2" spans="1:23" s="8" customFormat="1" ht="18.75" x14ac:dyDescent="0.3">
      <c r="A2" s="94" t="s">
        <v>11</v>
      </c>
      <c r="B2" s="9"/>
    </row>
    <row r="3" spans="1:23" ht="6.95" customHeight="1" x14ac:dyDescent="0.25"/>
    <row r="4" spans="1:23" x14ac:dyDescent="0.25">
      <c r="E4" s="16" t="s">
        <v>137</v>
      </c>
      <c r="F4" s="30">
        <v>1</v>
      </c>
      <c r="G4" s="17"/>
      <c r="H4" s="17"/>
      <c r="I4" s="30">
        <v>2</v>
      </c>
      <c r="J4" s="17"/>
      <c r="K4" s="17"/>
      <c r="L4" s="30">
        <v>3</v>
      </c>
      <c r="M4" s="17"/>
      <c r="N4" s="17"/>
      <c r="O4" s="30">
        <v>4</v>
      </c>
      <c r="P4" s="17"/>
      <c r="Q4" s="17"/>
      <c r="R4" s="30">
        <v>5</v>
      </c>
      <c r="S4" s="17"/>
      <c r="T4" s="17"/>
      <c r="U4" s="30">
        <v>6</v>
      </c>
      <c r="V4" s="17"/>
      <c r="W4" s="17"/>
    </row>
    <row r="5" spans="1:23" hidden="1" outlineLevel="1" x14ac:dyDescent="0.25">
      <c r="B5" s="38">
        <f>IFERROR(IF(SUMIFS(F5:T5,F4:T4,"&gt;=0")=0,"",SUMIFS(F5:T5,F4:T4,"&gt;=0")/SUMIFS(F5:T5,F6:T6,"ANSWER")),"")</f>
        <v>1</v>
      </c>
      <c r="C5" s="35" t="s">
        <v>43</v>
      </c>
      <c r="D5" s="16"/>
      <c r="E5" s="16"/>
      <c r="F5" s="36">
        <f>IFERROR(COUNTA(Tbl_A2_Syntax_ANS[% Change (Y2 - Y1) / Y1]),"")</f>
        <v>20</v>
      </c>
      <c r="G5" s="37">
        <f>IFERROR(COUNTIF(Tbl_A2_Syntax_ANS[Answer Status Q01],Rng_Lkp_AnswerStatus_Good),"")</f>
        <v>20</v>
      </c>
      <c r="H5" s="37">
        <f>IFERROR(COUNTA(Tbl_A2_Syntax_ANS[% Change (Y2 - Y1) / Y1 ANS]),"")</f>
        <v>20</v>
      </c>
      <c r="I5" s="36">
        <f>IFERROR(COUNTA(Tbl_A2_Syntax_ANS[Member Dues Y1^2]),"")</f>
        <v>20</v>
      </c>
      <c r="J5" s="37">
        <f>IFERROR(COUNTIF(Tbl_A2_Syntax_ANS[Answer Status Q02],Rng_Lkp_AnswerStatus_Good),"")</f>
        <v>20</v>
      </c>
      <c r="K5" s="37">
        <f>IFERROR(COUNTA(Tbl_A2_Syntax_ANS[Membership Dues Y1^2 ANS]),"")</f>
        <v>20</v>
      </c>
      <c r="L5" s="36">
        <f>IFERROR(COUNTA(Tbl_A2_Syntax_ANS[Is Y1 Less Than or Equal to Y2]),"")</f>
        <v>20</v>
      </c>
      <c r="M5" s="37">
        <f>IFERROR(COUNTIF(Tbl_A2_Syntax_ANS[Answer Status Q03],Rng_Lkp_AnswerStatus_Good),"")</f>
        <v>20</v>
      </c>
      <c r="N5" s="37">
        <f>IFERROR(COUNTA(Tbl_A2_Syntax_ANS[Is Y1 Less Than or Equal to Y2 ANS]),"")</f>
        <v>20</v>
      </c>
      <c r="O5" s="36">
        <f>IFERROR(COUNTA(Tbl_A2_Syntax_ANS[Is Y1 Equal to Y2]),"")</f>
        <v>20</v>
      </c>
      <c r="P5" s="37">
        <f>IFERROR(COUNTIF(Tbl_A2_Syntax_ANS[Answer Status Q04],Rng_Lkp_AnswerStatus_Good),"")</f>
        <v>20</v>
      </c>
      <c r="Q5" s="37">
        <f>IFERROR(COUNTA(Tbl_A2_Syntax_ANS[Is Y1 Equal to Y2 ANS]),"")</f>
        <v>20</v>
      </c>
      <c r="R5" s="36">
        <f>IFERROR(COUNTA(Tbl_A2_Syntax_ANS[Is Y1 Not Equal to Y2]),"")</f>
        <v>20</v>
      </c>
      <c r="S5" s="37">
        <f>IFERROR(COUNTIF(Tbl_A2_Syntax_ANS[Answer Status Q05],Rng_Lkp_AnswerStatus_Good),"")</f>
        <v>20</v>
      </c>
      <c r="T5" s="37">
        <f>IFERROR(COUNTA(Tbl_A2_Syntax_ANS[Is Y1 Not Equal to Y2 ANS]),"")</f>
        <v>20</v>
      </c>
      <c r="U5" s="36">
        <f>IFERROR(COUNTA(Tbl_A2_Syntax_ANS[Account ID: Full Name]),"")</f>
        <v>20</v>
      </c>
      <c r="V5" s="37">
        <f>IFERROR(COUNTIF(Tbl_A2_Syntax_ANS[Answer Status Q06],Rng_Lkp_AnswerStatus_Good),"")</f>
        <v>20</v>
      </c>
      <c r="W5" s="37">
        <f>IFERROR(COUNTA(Tbl_A2_Syntax_ANS[Account ID: Full Name ANS]),"")</f>
        <v>20</v>
      </c>
    </row>
    <row r="6" spans="1:23" collapsed="1" x14ac:dyDescent="0.25">
      <c r="B6" s="38">
        <f>IFERROR(IF(SUMIFS(F5:T5,F4:T4,"&gt;=0")=0,"",SUMIFS(F5:T5,F6:T6,"&gt;=0", F6:T6,"&lt;=1")/SUMIFS(F5:T5,F4:T4,"&gt;0")),"")</f>
        <v>1</v>
      </c>
      <c r="C6" s="35" t="s">
        <v>44</v>
      </c>
      <c r="F6" s="79" t="s">
        <v>96</v>
      </c>
      <c r="G6" s="28">
        <f>IFERROR(G5/F5,"")</f>
        <v>1</v>
      </c>
      <c r="H6" s="18" t="s">
        <v>26</v>
      </c>
      <c r="I6" s="22" t="s">
        <v>97</v>
      </c>
      <c r="J6" s="28">
        <f>IFERROR(J5/I5,"")</f>
        <v>1</v>
      </c>
      <c r="K6" s="18" t="s">
        <v>26</v>
      </c>
      <c r="L6" s="22" t="s">
        <v>100</v>
      </c>
      <c r="M6" s="28">
        <f>IFERROR(M5/L5,"")</f>
        <v>1</v>
      </c>
      <c r="N6" s="55" t="s">
        <v>26</v>
      </c>
      <c r="O6" s="79" t="s">
        <v>104</v>
      </c>
      <c r="P6" s="28">
        <f>IFERROR(P5/O5,"")</f>
        <v>1</v>
      </c>
      <c r="Q6" s="55" t="s">
        <v>26</v>
      </c>
      <c r="R6" s="22" t="s">
        <v>107</v>
      </c>
      <c r="S6" s="28">
        <f>IFERROR(S5/R5,"")</f>
        <v>1</v>
      </c>
      <c r="T6" s="55" t="s">
        <v>26</v>
      </c>
      <c r="U6" s="22" t="s">
        <v>108</v>
      </c>
      <c r="V6" s="28">
        <f>IFERROR(V5/U5,"")</f>
        <v>1</v>
      </c>
      <c r="W6" s="31" t="s">
        <v>26</v>
      </c>
    </row>
    <row r="7" spans="1:23" ht="45" x14ac:dyDescent="0.25">
      <c r="B7" s="20" t="s">
        <v>10</v>
      </c>
      <c r="C7" s="21" t="s">
        <v>12</v>
      </c>
      <c r="D7" s="44" t="s">
        <v>125</v>
      </c>
      <c r="E7" s="44" t="s">
        <v>126</v>
      </c>
      <c r="F7" s="23" t="s">
        <v>95</v>
      </c>
      <c r="G7" s="26" t="s">
        <v>33</v>
      </c>
      <c r="H7" s="24" t="s">
        <v>98</v>
      </c>
      <c r="I7" s="23" t="s">
        <v>127</v>
      </c>
      <c r="J7" s="26" t="s">
        <v>34</v>
      </c>
      <c r="K7" s="24" t="s">
        <v>99</v>
      </c>
      <c r="L7" s="51" t="s">
        <v>101</v>
      </c>
      <c r="M7" s="26" t="s">
        <v>35</v>
      </c>
      <c r="N7" s="53" t="s">
        <v>102</v>
      </c>
      <c r="O7" s="51" t="s">
        <v>103</v>
      </c>
      <c r="P7" s="26" t="s">
        <v>41</v>
      </c>
      <c r="Q7" s="53" t="s">
        <v>105</v>
      </c>
      <c r="R7" s="56" t="s">
        <v>106</v>
      </c>
      <c r="S7" s="47" t="s">
        <v>46</v>
      </c>
      <c r="T7" s="57" t="s">
        <v>109</v>
      </c>
      <c r="U7" s="82" t="s">
        <v>110</v>
      </c>
      <c r="V7" s="47" t="s">
        <v>47</v>
      </c>
      <c r="W7" s="84" t="s">
        <v>121</v>
      </c>
    </row>
    <row r="8" spans="1:23" x14ac:dyDescent="0.25">
      <c r="B8" s="11">
        <v>4405</v>
      </c>
      <c r="C8" s="12" t="s">
        <v>143</v>
      </c>
      <c r="D8" s="86">
        <v>1000</v>
      </c>
      <c r="E8" s="86">
        <v>1100</v>
      </c>
      <c r="F8" s="77">
        <f>(Tbl_A2_Syntax_ANS[[#This Row],[Member Dues Year 2]]-Tbl_A2_Syntax_ANS[[#This Row],[Member Dues Year 1]]) / Tbl_A2_Syntax_ANS[[#This Row],[Member Dues Year 1]]</f>
        <v>0.1</v>
      </c>
      <c r="G8" s="27" t="str">
        <f>IFERROR(IF(Tbl_A2_Syntax_ANS[[#This Row],[% Change (Y2 - Y1) / Y1]]="","",IF(AND(_xlfn.ISFORMULA(Tbl_A2_Syntax_ANS[[#This Row],[% Change (Y2 - Y1) / Y1]]),EXACT(Tbl_A2_Syntax_ANS[[#This Row],[% Change (Y2 - Y1) / Y1]],Tbl_A2_Syntax_ANS[[#This Row],[% Change (Y2 - Y1) / Y1 ANS]])),Rng_Lkp_AnswerStatus_Good,Rng_Lkp_AnswerStatus_Bad)),Rng_Lkp_AnswerStatus_Bad)</f>
        <v>Correct</v>
      </c>
      <c r="H8" s="45">
        <v>0.1</v>
      </c>
      <c r="I8" s="42">
        <f>Tbl_A2_Syntax_ANS[[#This Row],[Member Dues Year 1]]^2</f>
        <v>1000000</v>
      </c>
      <c r="J8" s="27" t="str">
        <f>IFERROR(IF(Tbl_A2_Syntax_ANS[[#This Row],[Member Dues Y1^2]]="","",IF(AND(_xlfn.ISFORMULA(Tbl_A2_Syntax_ANS[[#This Row],[Member Dues Y1^2]]),EXACT(Tbl_A2_Syntax_ANS[[#This Row],[Member Dues Y1^2]],Tbl_A2_Syntax_ANS[[#This Row],[Membership Dues Y1^2 ANS]])),Rng_Lkp_AnswerStatus_Good,Rng_Lkp_AnswerStatus_Bad)),Rng_Lkp_AnswerStatus_Bad)</f>
        <v>Correct</v>
      </c>
      <c r="K8" s="46">
        <v>1000000</v>
      </c>
      <c r="L8" s="80" t="b">
        <f>Tbl_A2_Syntax_ANS[[#This Row],[Member Dues Year 1]]&lt;=Tbl_A2_Syntax_ANS[[#This Row],[Member Dues Year 2]]</f>
        <v>1</v>
      </c>
      <c r="M8" s="27" t="str">
        <f>IFERROR(IF(Tbl_A2_Syntax_ANS[[#This Row],[Is Y1 Less Than or Equal to Y2]]="","",IF(AND(_xlfn.ISFORMULA(Tbl_A2_Syntax_ANS[[#This Row],[Is Y1 Less Than or Equal to Y2]]),EXACT(Tbl_A2_Syntax_ANS[[#This Row],[Is Y1 Less Than or Equal to Y2]],Tbl_A2_Syntax_ANS[[#This Row],[Is Y1 Less Than or Equal to Y2 ANS]])),Rng_Lkp_AnswerStatus_Good,Rng_Lkp_AnswerStatus_Bad)),Rng_Lkp_AnswerStatus_Bad)</f>
        <v>Correct</v>
      </c>
      <c r="N8" s="25" t="b">
        <v>1</v>
      </c>
      <c r="O8" s="80" t="b">
        <f>Tbl_A2_Syntax_ANS[[#This Row],[Member Dues Year 1]]=Tbl_A2_Syntax_ANS[[#This Row],[Member Dues Year 2]]</f>
        <v>0</v>
      </c>
      <c r="P8" s="27" t="str">
        <f>IFERROR(IF(Tbl_A2_Syntax_ANS[[#This Row],[Is Y1 Equal to Y2]]="","",IF(AND(_xlfn.ISFORMULA(Tbl_A2_Syntax_ANS[[#This Row],[Is Y1 Equal to Y2]]),EXACT(Tbl_A2_Syntax_ANS[[#This Row],[Is Y1 Equal to Y2]],Tbl_A2_Syntax_ANS[[#This Row],[Is Y1 Equal to Y2 ANS]])),Rng_Lkp_AnswerStatus_Good,Rng_Lkp_AnswerStatus_Bad)),Rng_Lkp_AnswerStatus_Bad)</f>
        <v>Correct</v>
      </c>
      <c r="Q8" s="81" t="b">
        <v>0</v>
      </c>
      <c r="R8" s="80" t="b">
        <f>Tbl_A2_Syntax_ANS[[#This Row],[Member Dues Year 1]]&lt;&gt;Tbl_A2_Syntax_ANS[[#This Row],[Member Dues Year 2]]</f>
        <v>1</v>
      </c>
      <c r="S8" s="27" t="str">
        <f>IFERROR(IF(Tbl_A2_Syntax_ANS[[#This Row],[Is Y1 Not Equal to Y2]]="","",IF(AND(_xlfn.ISFORMULA(Tbl_A2_Syntax_ANS[[#This Row],[Is Y1 Not Equal to Y2]]),EXACT(Tbl_A2_Syntax_ANS[[#This Row],[Is Y1 Not Equal to Y2]],Tbl_A2_Syntax_ANS[[#This Row],[Is Y1 Not Equal to Y2 ANS]])),Rng_Lkp_AnswerStatus_Good,Rng_Lkp_AnswerStatus_Bad)),Rng_Lkp_AnswerStatus_Bad)</f>
        <v>Correct</v>
      </c>
      <c r="T8" s="81" t="b">
        <v>1</v>
      </c>
      <c r="U8" s="83" t="str">
        <f>Tbl_A2_Syntax_ANS[[#This Row],[Account ID]] &amp; ": " &amp; Tbl_A2_Syntax_ANS[[#This Row],[Full Name]]</f>
        <v>4405: Tammy Ward</v>
      </c>
      <c r="V8" s="27" t="str">
        <f>IFERROR(IF(Tbl_A2_Syntax_ANS[[#This Row],[Account ID: Full Name]]="","",IF(AND(_xlfn.ISFORMULA(Tbl_A2_Syntax_ANS[[#This Row],[Account ID: Full Name]]),EXACT(Tbl_A2_Syntax_ANS[[#This Row],[Account ID: Full Name]],Tbl_A2_Syntax_ANS[[#This Row],[Account ID: Full Name ANS]])),Rng_Lkp_AnswerStatus_Good,Rng_Lkp_AnswerStatus_Bad)),Rng_Lkp_AnswerStatus_Bad)</f>
        <v>Correct</v>
      </c>
      <c r="W8" s="85" t="s">
        <v>149</v>
      </c>
    </row>
    <row r="9" spans="1:23" x14ac:dyDescent="0.25">
      <c r="B9" s="11">
        <v>1030</v>
      </c>
      <c r="C9" s="12" t="s">
        <v>13</v>
      </c>
      <c r="D9" s="86">
        <v>750</v>
      </c>
      <c r="E9" s="86">
        <v>800</v>
      </c>
      <c r="F9" s="78">
        <f>(Tbl_A2_Syntax_ANS[[#This Row],[Member Dues Year 2]]-Tbl_A2_Syntax_ANS[[#This Row],[Member Dues Year 1]]) / Tbl_A2_Syntax_ANS[[#This Row],[Member Dues Year 1]]</f>
        <v>6.6666666666666666E-2</v>
      </c>
      <c r="G9" s="27" t="str">
        <f>IFERROR(IF(Tbl_A2_Syntax_ANS[[#This Row],[% Change (Y2 - Y1) / Y1]]="","",IF(AND(_xlfn.ISFORMULA(Tbl_A2_Syntax_ANS[[#This Row],[% Change (Y2 - Y1) / Y1]]),EXACT(Tbl_A2_Syntax_ANS[[#This Row],[% Change (Y2 - Y1) / Y1]],Tbl_A2_Syntax_ANS[[#This Row],[% Change (Y2 - Y1) / Y1 ANS]])),Rng_Lkp_AnswerStatus_Good,Rng_Lkp_AnswerStatus_Bad)),Rng_Lkp_AnswerStatus_Bad)</f>
        <v>Correct</v>
      </c>
      <c r="H9" s="45">
        <v>6.6666666666666666E-2</v>
      </c>
      <c r="I9" s="43">
        <f>Tbl_A2_Syntax_ANS[[#This Row],[Member Dues Year 1]]^2</f>
        <v>562500</v>
      </c>
      <c r="J9" s="27" t="str">
        <f>IFERROR(IF(Tbl_A2_Syntax_ANS[[#This Row],[Member Dues Y1^2]]="","",IF(AND(_xlfn.ISFORMULA(Tbl_A2_Syntax_ANS[[#This Row],[Member Dues Y1^2]]),EXACT(Tbl_A2_Syntax_ANS[[#This Row],[Member Dues Y1^2]],Tbl_A2_Syntax_ANS[[#This Row],[Membership Dues Y1^2 ANS]])),Rng_Lkp_AnswerStatus_Good,Rng_Lkp_AnswerStatus_Bad)),Rng_Lkp_AnswerStatus_Bad)</f>
        <v>Correct</v>
      </c>
      <c r="K9" s="46">
        <v>562500</v>
      </c>
      <c r="L9" s="80" t="b">
        <f>Tbl_A2_Syntax_ANS[[#This Row],[Member Dues Year 1]]&lt;=Tbl_A2_Syntax_ANS[[#This Row],[Member Dues Year 2]]</f>
        <v>1</v>
      </c>
      <c r="M9" s="27" t="str">
        <f>IFERROR(IF(Tbl_A2_Syntax_ANS[[#This Row],[Is Y1 Less Than or Equal to Y2]]="","",IF(AND(_xlfn.ISFORMULA(Tbl_A2_Syntax_ANS[[#This Row],[Is Y1 Less Than or Equal to Y2]]),EXACT(Tbl_A2_Syntax_ANS[[#This Row],[Is Y1 Less Than or Equal to Y2]],Tbl_A2_Syntax_ANS[[#This Row],[Is Y1 Less Than or Equal to Y2 ANS]])),Rng_Lkp_AnswerStatus_Good,Rng_Lkp_AnswerStatus_Bad)),Rng_Lkp_AnswerStatus_Bad)</f>
        <v>Correct</v>
      </c>
      <c r="N9" s="25" t="b">
        <v>1</v>
      </c>
      <c r="O9" s="80" t="b">
        <f>Tbl_A2_Syntax_ANS[[#This Row],[Member Dues Year 1]]=Tbl_A2_Syntax_ANS[[#This Row],[Member Dues Year 2]]</f>
        <v>0</v>
      </c>
      <c r="P9" s="27" t="str">
        <f>IFERROR(IF(Tbl_A2_Syntax_ANS[[#This Row],[Is Y1 Equal to Y2]]="","",IF(AND(_xlfn.ISFORMULA(Tbl_A2_Syntax_ANS[[#This Row],[Is Y1 Equal to Y2]]),EXACT(Tbl_A2_Syntax_ANS[[#This Row],[Is Y1 Equal to Y2]],Tbl_A2_Syntax_ANS[[#This Row],[Is Y1 Equal to Y2 ANS]])),Rng_Lkp_AnswerStatus_Good,Rng_Lkp_AnswerStatus_Bad)),Rng_Lkp_AnswerStatus_Bad)</f>
        <v>Correct</v>
      </c>
      <c r="Q9" s="81" t="b">
        <v>0</v>
      </c>
      <c r="R9" s="80" t="b">
        <f>Tbl_A2_Syntax_ANS[[#This Row],[Member Dues Year 1]]&lt;&gt;Tbl_A2_Syntax_ANS[[#This Row],[Member Dues Year 2]]</f>
        <v>1</v>
      </c>
      <c r="S9" s="48" t="str">
        <f>IFERROR(IF(Tbl_A2_Syntax_ANS[[#This Row],[Is Y1 Not Equal to Y2]]="","",IF(AND(_xlfn.ISFORMULA(Tbl_A2_Syntax_ANS[[#This Row],[Is Y1 Not Equal to Y2]]),EXACT(Tbl_A2_Syntax_ANS[[#This Row],[Is Y1 Not Equal to Y2]],Tbl_A2_Syntax_ANS[[#This Row],[Is Y1 Not Equal to Y2 ANS]])),Rng_Lkp_AnswerStatus_Good,Rng_Lkp_AnswerStatus_Bad)),Rng_Lkp_AnswerStatus_Bad)</f>
        <v>Correct</v>
      </c>
      <c r="T9" s="81" t="b">
        <v>1</v>
      </c>
      <c r="U9" s="83" t="str">
        <f>Tbl_A2_Syntax_ANS[[#This Row],[Account ID]] &amp; ": " &amp; Tbl_A2_Syntax_ANS[[#This Row],[Full Name]]</f>
        <v>1030: Cory Gibes</v>
      </c>
      <c r="V9" s="48" t="str">
        <f>IFERROR(IF(Tbl_A2_Syntax_ANS[[#This Row],[Account ID: Full Name]]="","",IF(AND(_xlfn.ISFORMULA(Tbl_A2_Syntax_ANS[[#This Row],[Account ID: Full Name]]),EXACT(Tbl_A2_Syntax_ANS[[#This Row],[Account ID: Full Name]],Tbl_A2_Syntax_ANS[[#This Row],[Account ID: Full Name ANS]])),Rng_Lkp_AnswerStatus_Good,Rng_Lkp_AnswerStatus_Bad)),Rng_Lkp_AnswerStatus_Bad)</f>
        <v>Correct</v>
      </c>
      <c r="W9" s="85" t="s">
        <v>111</v>
      </c>
    </row>
    <row r="10" spans="1:23" x14ac:dyDescent="0.25">
      <c r="B10" s="11">
        <v>1603</v>
      </c>
      <c r="C10" s="12" t="s">
        <v>142</v>
      </c>
      <c r="D10" s="86">
        <v>750</v>
      </c>
      <c r="E10" s="86">
        <v>800</v>
      </c>
      <c r="F10" s="78">
        <f>(Tbl_A2_Syntax_ANS[[#This Row],[Member Dues Year 2]]-Tbl_A2_Syntax_ANS[[#This Row],[Member Dues Year 1]]) / Tbl_A2_Syntax_ANS[[#This Row],[Member Dues Year 1]]</f>
        <v>6.6666666666666666E-2</v>
      </c>
      <c r="G10" s="27" t="str">
        <f>IFERROR(IF(Tbl_A2_Syntax_ANS[[#This Row],[% Change (Y2 - Y1) / Y1]]="","",IF(AND(_xlfn.ISFORMULA(Tbl_A2_Syntax_ANS[[#This Row],[% Change (Y2 - Y1) / Y1]]),EXACT(Tbl_A2_Syntax_ANS[[#This Row],[% Change (Y2 - Y1) / Y1]],Tbl_A2_Syntax_ANS[[#This Row],[% Change (Y2 - Y1) / Y1 ANS]])),Rng_Lkp_AnswerStatus_Good,Rng_Lkp_AnswerStatus_Bad)),Rng_Lkp_AnswerStatus_Bad)</f>
        <v>Correct</v>
      </c>
      <c r="H10" s="45">
        <v>6.6666666666666666E-2</v>
      </c>
      <c r="I10" s="43">
        <f>Tbl_A2_Syntax_ANS[[#This Row],[Member Dues Year 1]]^2</f>
        <v>562500</v>
      </c>
      <c r="J10" s="27" t="str">
        <f>IFERROR(IF(Tbl_A2_Syntax_ANS[[#This Row],[Member Dues Y1^2]]="","",IF(AND(_xlfn.ISFORMULA(Tbl_A2_Syntax_ANS[[#This Row],[Member Dues Y1^2]]),EXACT(Tbl_A2_Syntax_ANS[[#This Row],[Member Dues Y1^2]],Tbl_A2_Syntax_ANS[[#This Row],[Membership Dues Y1^2 ANS]])),Rng_Lkp_AnswerStatus_Good,Rng_Lkp_AnswerStatus_Bad)),Rng_Lkp_AnswerStatus_Bad)</f>
        <v>Correct</v>
      </c>
      <c r="K10" s="46">
        <v>562500</v>
      </c>
      <c r="L10" s="80" t="b">
        <f>Tbl_A2_Syntax_ANS[[#This Row],[Member Dues Year 1]]&lt;=Tbl_A2_Syntax_ANS[[#This Row],[Member Dues Year 2]]</f>
        <v>1</v>
      </c>
      <c r="M10" s="27" t="str">
        <f>IFERROR(IF(Tbl_A2_Syntax_ANS[[#This Row],[Is Y1 Less Than or Equal to Y2]]="","",IF(AND(_xlfn.ISFORMULA(Tbl_A2_Syntax_ANS[[#This Row],[Is Y1 Less Than or Equal to Y2]]),EXACT(Tbl_A2_Syntax_ANS[[#This Row],[Is Y1 Less Than or Equal to Y2]],Tbl_A2_Syntax_ANS[[#This Row],[Is Y1 Less Than or Equal to Y2 ANS]])),Rng_Lkp_AnswerStatus_Good,Rng_Lkp_AnswerStatus_Bad)),Rng_Lkp_AnswerStatus_Bad)</f>
        <v>Correct</v>
      </c>
      <c r="N10" s="25" t="b">
        <v>1</v>
      </c>
      <c r="O10" s="80" t="b">
        <f>Tbl_A2_Syntax_ANS[[#This Row],[Member Dues Year 1]]=Tbl_A2_Syntax_ANS[[#This Row],[Member Dues Year 2]]</f>
        <v>0</v>
      </c>
      <c r="P10" s="27" t="str">
        <f>IFERROR(IF(Tbl_A2_Syntax_ANS[[#This Row],[Is Y1 Equal to Y2]]="","",IF(AND(_xlfn.ISFORMULA(Tbl_A2_Syntax_ANS[[#This Row],[Is Y1 Equal to Y2]]),EXACT(Tbl_A2_Syntax_ANS[[#This Row],[Is Y1 Equal to Y2]],Tbl_A2_Syntax_ANS[[#This Row],[Is Y1 Equal to Y2 ANS]])),Rng_Lkp_AnswerStatus_Good,Rng_Lkp_AnswerStatus_Bad)),Rng_Lkp_AnswerStatus_Bad)</f>
        <v>Correct</v>
      </c>
      <c r="Q10" s="81" t="b">
        <v>0</v>
      </c>
      <c r="R10" s="80" t="b">
        <f>Tbl_A2_Syntax_ANS[[#This Row],[Member Dues Year 1]]&lt;&gt;Tbl_A2_Syntax_ANS[[#This Row],[Member Dues Year 2]]</f>
        <v>1</v>
      </c>
      <c r="S10" s="48" t="str">
        <f>IFERROR(IF(Tbl_A2_Syntax_ANS[[#This Row],[Is Y1 Not Equal to Y2]]="","",IF(AND(_xlfn.ISFORMULA(Tbl_A2_Syntax_ANS[[#This Row],[Is Y1 Not Equal to Y2]]),EXACT(Tbl_A2_Syntax_ANS[[#This Row],[Is Y1 Not Equal to Y2]],Tbl_A2_Syntax_ANS[[#This Row],[Is Y1 Not Equal to Y2 ANS]])),Rng_Lkp_AnswerStatus_Good,Rng_Lkp_AnswerStatus_Bad)),Rng_Lkp_AnswerStatus_Bad)</f>
        <v>Correct</v>
      </c>
      <c r="T10" s="81" t="b">
        <v>1</v>
      </c>
      <c r="U10" s="83" t="str">
        <f>Tbl_A2_Syntax_ANS[[#This Row],[Account ID]] &amp; ": " &amp; Tbl_A2_Syntax_ANS[[#This Row],[Full Name]]</f>
        <v>1603: Danica Brusch</v>
      </c>
      <c r="V10" s="48" t="str">
        <f>IFERROR(IF(Tbl_A2_Syntax_ANS[[#This Row],[Account ID: Full Name]]="","",IF(AND(_xlfn.ISFORMULA(Tbl_A2_Syntax_ANS[[#This Row],[Account ID: Full Name]]),EXACT(Tbl_A2_Syntax_ANS[[#This Row],[Account ID: Full Name]],Tbl_A2_Syntax_ANS[[#This Row],[Account ID: Full Name ANS]])),Rng_Lkp_AnswerStatus_Good,Rng_Lkp_AnswerStatus_Bad)),Rng_Lkp_AnswerStatus_Bad)</f>
        <v>Correct</v>
      </c>
      <c r="W10" s="85" t="s">
        <v>223</v>
      </c>
    </row>
    <row r="11" spans="1:23" x14ac:dyDescent="0.25">
      <c r="B11" s="11">
        <v>4298</v>
      </c>
      <c r="C11" s="12" t="s">
        <v>14</v>
      </c>
      <c r="D11" s="86">
        <v>1400</v>
      </c>
      <c r="E11" s="86">
        <v>1200</v>
      </c>
      <c r="F11" s="78">
        <f>(Tbl_A2_Syntax_ANS[[#This Row],[Member Dues Year 2]]-Tbl_A2_Syntax_ANS[[#This Row],[Member Dues Year 1]]) / Tbl_A2_Syntax_ANS[[#This Row],[Member Dues Year 1]]</f>
        <v>-0.14285714285714285</v>
      </c>
      <c r="G11" s="27" t="str">
        <f>IFERROR(IF(Tbl_A2_Syntax_ANS[[#This Row],[% Change (Y2 - Y1) / Y1]]="","",IF(AND(_xlfn.ISFORMULA(Tbl_A2_Syntax_ANS[[#This Row],[% Change (Y2 - Y1) / Y1]]),EXACT(Tbl_A2_Syntax_ANS[[#This Row],[% Change (Y2 - Y1) / Y1]],Tbl_A2_Syntax_ANS[[#This Row],[% Change (Y2 - Y1) / Y1 ANS]])),Rng_Lkp_AnswerStatus_Good,Rng_Lkp_AnswerStatus_Bad)),Rng_Lkp_AnswerStatus_Bad)</f>
        <v>Correct</v>
      </c>
      <c r="H11" s="45">
        <v>-0.14285714285714285</v>
      </c>
      <c r="I11" s="43">
        <f>Tbl_A2_Syntax_ANS[[#This Row],[Member Dues Year 1]]^2</f>
        <v>1960000</v>
      </c>
      <c r="J11" s="27" t="str">
        <f>IFERROR(IF(Tbl_A2_Syntax_ANS[[#This Row],[Member Dues Y1^2]]="","",IF(AND(_xlfn.ISFORMULA(Tbl_A2_Syntax_ANS[[#This Row],[Member Dues Y1^2]]),EXACT(Tbl_A2_Syntax_ANS[[#This Row],[Member Dues Y1^2]],Tbl_A2_Syntax_ANS[[#This Row],[Membership Dues Y1^2 ANS]])),Rng_Lkp_AnswerStatus_Good,Rng_Lkp_AnswerStatus_Bad)),Rng_Lkp_AnswerStatus_Bad)</f>
        <v>Correct</v>
      </c>
      <c r="K11" s="46">
        <v>1960000</v>
      </c>
      <c r="L11" s="80" t="b">
        <f>Tbl_A2_Syntax_ANS[[#This Row],[Member Dues Year 1]]&lt;=Tbl_A2_Syntax_ANS[[#This Row],[Member Dues Year 2]]</f>
        <v>0</v>
      </c>
      <c r="M11" s="27" t="str">
        <f>IFERROR(IF(Tbl_A2_Syntax_ANS[[#This Row],[Is Y1 Less Than or Equal to Y2]]="","",IF(AND(_xlfn.ISFORMULA(Tbl_A2_Syntax_ANS[[#This Row],[Is Y1 Less Than or Equal to Y2]]),EXACT(Tbl_A2_Syntax_ANS[[#This Row],[Is Y1 Less Than or Equal to Y2]],Tbl_A2_Syntax_ANS[[#This Row],[Is Y1 Less Than or Equal to Y2 ANS]])),Rng_Lkp_AnswerStatus_Good,Rng_Lkp_AnswerStatus_Bad)),Rng_Lkp_AnswerStatus_Bad)</f>
        <v>Correct</v>
      </c>
      <c r="N11" s="25" t="b">
        <v>0</v>
      </c>
      <c r="O11" s="80" t="b">
        <f>Tbl_A2_Syntax_ANS[[#This Row],[Member Dues Year 1]]=Tbl_A2_Syntax_ANS[[#This Row],[Member Dues Year 2]]</f>
        <v>0</v>
      </c>
      <c r="P11" s="27" t="str">
        <f>IFERROR(IF(Tbl_A2_Syntax_ANS[[#This Row],[Is Y1 Equal to Y2]]="","",IF(AND(_xlfn.ISFORMULA(Tbl_A2_Syntax_ANS[[#This Row],[Is Y1 Equal to Y2]]),EXACT(Tbl_A2_Syntax_ANS[[#This Row],[Is Y1 Equal to Y2]],Tbl_A2_Syntax_ANS[[#This Row],[Is Y1 Equal to Y2 ANS]])),Rng_Lkp_AnswerStatus_Good,Rng_Lkp_AnswerStatus_Bad)),Rng_Lkp_AnswerStatus_Bad)</f>
        <v>Correct</v>
      </c>
      <c r="Q11" s="81" t="b">
        <v>0</v>
      </c>
      <c r="R11" s="80" t="b">
        <f>Tbl_A2_Syntax_ANS[[#This Row],[Member Dues Year 1]]&lt;&gt;Tbl_A2_Syntax_ANS[[#This Row],[Member Dues Year 2]]</f>
        <v>1</v>
      </c>
      <c r="S11" s="48" t="str">
        <f>IFERROR(IF(Tbl_A2_Syntax_ANS[[#This Row],[Is Y1 Not Equal to Y2]]="","",IF(AND(_xlfn.ISFORMULA(Tbl_A2_Syntax_ANS[[#This Row],[Is Y1 Not Equal to Y2]]),EXACT(Tbl_A2_Syntax_ANS[[#This Row],[Is Y1 Not Equal to Y2]],Tbl_A2_Syntax_ANS[[#This Row],[Is Y1 Not Equal to Y2 ANS]])),Rng_Lkp_AnswerStatus_Good,Rng_Lkp_AnswerStatus_Bad)),Rng_Lkp_AnswerStatus_Bad)</f>
        <v>Correct</v>
      </c>
      <c r="T11" s="81" t="b">
        <v>1</v>
      </c>
      <c r="U11" s="83" t="str">
        <f>Tbl_A2_Syntax_ANS[[#This Row],[Account ID]] &amp; ": " &amp; Tbl_A2_Syntax_ANS[[#This Row],[Full Name]]</f>
        <v>4298: Wilda Giguere</v>
      </c>
      <c r="V11" s="48" t="str">
        <f>IFERROR(IF(Tbl_A2_Syntax_ANS[[#This Row],[Account ID: Full Name]]="","",IF(AND(_xlfn.ISFORMULA(Tbl_A2_Syntax_ANS[[#This Row],[Account ID: Full Name]]),EXACT(Tbl_A2_Syntax_ANS[[#This Row],[Account ID: Full Name]],Tbl_A2_Syntax_ANS[[#This Row],[Account ID: Full Name ANS]])),Rng_Lkp_AnswerStatus_Good,Rng_Lkp_AnswerStatus_Bad)),Rng_Lkp_AnswerStatus_Bad)</f>
        <v>Correct</v>
      </c>
      <c r="W11" s="85" t="s">
        <v>112</v>
      </c>
    </row>
    <row r="12" spans="1:23" x14ac:dyDescent="0.25">
      <c r="B12" s="11">
        <v>2352</v>
      </c>
      <c r="C12" s="12" t="s">
        <v>139</v>
      </c>
      <c r="D12" s="86">
        <v>1000</v>
      </c>
      <c r="E12" s="86">
        <v>950</v>
      </c>
      <c r="F12" s="78">
        <f>(Tbl_A2_Syntax_ANS[[#This Row],[Member Dues Year 2]]-Tbl_A2_Syntax_ANS[[#This Row],[Member Dues Year 1]]) / Tbl_A2_Syntax_ANS[[#This Row],[Member Dues Year 1]]</f>
        <v>-0.05</v>
      </c>
      <c r="G12" s="27" t="str">
        <f>IFERROR(IF(Tbl_A2_Syntax_ANS[[#This Row],[% Change (Y2 - Y1) / Y1]]="","",IF(AND(_xlfn.ISFORMULA(Tbl_A2_Syntax_ANS[[#This Row],[% Change (Y2 - Y1) / Y1]]),EXACT(Tbl_A2_Syntax_ANS[[#This Row],[% Change (Y2 - Y1) / Y1]],Tbl_A2_Syntax_ANS[[#This Row],[% Change (Y2 - Y1) / Y1 ANS]])),Rng_Lkp_AnswerStatus_Good,Rng_Lkp_AnswerStatus_Bad)),Rng_Lkp_AnswerStatus_Bad)</f>
        <v>Correct</v>
      </c>
      <c r="H12" s="45">
        <v>-0.05</v>
      </c>
      <c r="I12" s="43">
        <f>Tbl_A2_Syntax_ANS[[#This Row],[Member Dues Year 1]]^2</f>
        <v>1000000</v>
      </c>
      <c r="J12" s="27" t="str">
        <f>IFERROR(IF(Tbl_A2_Syntax_ANS[[#This Row],[Member Dues Y1^2]]="","",IF(AND(_xlfn.ISFORMULA(Tbl_A2_Syntax_ANS[[#This Row],[Member Dues Y1^2]]),EXACT(Tbl_A2_Syntax_ANS[[#This Row],[Member Dues Y1^2]],Tbl_A2_Syntax_ANS[[#This Row],[Membership Dues Y1^2 ANS]])),Rng_Lkp_AnswerStatus_Good,Rng_Lkp_AnswerStatus_Bad)),Rng_Lkp_AnswerStatus_Bad)</f>
        <v>Correct</v>
      </c>
      <c r="K12" s="46">
        <v>1000000</v>
      </c>
      <c r="L12" s="80" t="b">
        <f>Tbl_A2_Syntax_ANS[[#This Row],[Member Dues Year 1]]&lt;=Tbl_A2_Syntax_ANS[[#This Row],[Member Dues Year 2]]</f>
        <v>0</v>
      </c>
      <c r="M12" s="27" t="str">
        <f>IFERROR(IF(Tbl_A2_Syntax_ANS[[#This Row],[Is Y1 Less Than or Equal to Y2]]="","",IF(AND(_xlfn.ISFORMULA(Tbl_A2_Syntax_ANS[[#This Row],[Is Y1 Less Than or Equal to Y2]]),EXACT(Tbl_A2_Syntax_ANS[[#This Row],[Is Y1 Less Than or Equal to Y2]],Tbl_A2_Syntax_ANS[[#This Row],[Is Y1 Less Than or Equal to Y2 ANS]])),Rng_Lkp_AnswerStatus_Good,Rng_Lkp_AnswerStatus_Bad)),Rng_Lkp_AnswerStatus_Bad)</f>
        <v>Correct</v>
      </c>
      <c r="N12" s="25" t="b">
        <v>0</v>
      </c>
      <c r="O12" s="80" t="b">
        <f>Tbl_A2_Syntax_ANS[[#This Row],[Member Dues Year 1]]=Tbl_A2_Syntax_ANS[[#This Row],[Member Dues Year 2]]</f>
        <v>0</v>
      </c>
      <c r="P12" s="27" t="str">
        <f>IFERROR(IF(Tbl_A2_Syntax_ANS[[#This Row],[Is Y1 Equal to Y2]]="","",IF(AND(_xlfn.ISFORMULA(Tbl_A2_Syntax_ANS[[#This Row],[Is Y1 Equal to Y2]]),EXACT(Tbl_A2_Syntax_ANS[[#This Row],[Is Y1 Equal to Y2]],Tbl_A2_Syntax_ANS[[#This Row],[Is Y1 Equal to Y2 ANS]])),Rng_Lkp_AnswerStatus_Good,Rng_Lkp_AnswerStatus_Bad)),Rng_Lkp_AnswerStatus_Bad)</f>
        <v>Correct</v>
      </c>
      <c r="Q12" s="81" t="b">
        <v>0</v>
      </c>
      <c r="R12" s="80" t="b">
        <f>Tbl_A2_Syntax_ANS[[#This Row],[Member Dues Year 1]]&lt;&gt;Tbl_A2_Syntax_ANS[[#This Row],[Member Dues Year 2]]</f>
        <v>1</v>
      </c>
      <c r="S12" s="48" t="str">
        <f>IFERROR(IF(Tbl_A2_Syntax_ANS[[#This Row],[Is Y1 Not Equal to Y2]]="","",IF(AND(_xlfn.ISFORMULA(Tbl_A2_Syntax_ANS[[#This Row],[Is Y1 Not Equal to Y2]]),EXACT(Tbl_A2_Syntax_ANS[[#This Row],[Is Y1 Not Equal to Y2]],Tbl_A2_Syntax_ANS[[#This Row],[Is Y1 Not Equal to Y2 ANS]])),Rng_Lkp_AnswerStatus_Good,Rng_Lkp_AnswerStatus_Bad)),Rng_Lkp_AnswerStatus_Bad)</f>
        <v>Correct</v>
      </c>
      <c r="T12" s="81" t="b">
        <v>1</v>
      </c>
      <c r="U12" s="83" t="str">
        <f>Tbl_A2_Syntax_ANS[[#This Row],[Account ID]] &amp; ": " &amp; Tbl_A2_Syntax_ANS[[#This Row],[Full Name]]</f>
        <v>2352: Elvera Benim</v>
      </c>
      <c r="V12" s="48" t="str">
        <f>IFERROR(IF(Tbl_A2_Syntax_ANS[[#This Row],[Account ID: Full Name]]="","",IF(AND(_xlfn.ISFORMULA(Tbl_A2_Syntax_ANS[[#This Row],[Account ID: Full Name]]),EXACT(Tbl_A2_Syntax_ANS[[#This Row],[Account ID: Full Name]],Tbl_A2_Syntax_ANS[[#This Row],[Account ID: Full Name ANS]])),Rng_Lkp_AnswerStatus_Good,Rng_Lkp_AnswerStatus_Bad)),Rng_Lkp_AnswerStatus_Bad)</f>
        <v>Correct</v>
      </c>
      <c r="W12" s="85" t="s">
        <v>224</v>
      </c>
    </row>
    <row r="13" spans="1:23" x14ac:dyDescent="0.25">
      <c r="B13" s="11">
        <v>1049</v>
      </c>
      <c r="C13" s="12" t="s">
        <v>140</v>
      </c>
      <c r="D13" s="86">
        <v>1000</v>
      </c>
      <c r="E13" s="86">
        <v>1000</v>
      </c>
      <c r="F13" s="78">
        <f>(Tbl_A2_Syntax_ANS[[#This Row],[Member Dues Year 2]]-Tbl_A2_Syntax_ANS[[#This Row],[Member Dues Year 1]]) / Tbl_A2_Syntax_ANS[[#This Row],[Member Dues Year 1]]</f>
        <v>0</v>
      </c>
      <c r="G13" s="27" t="str">
        <f>IFERROR(IF(Tbl_A2_Syntax_ANS[[#This Row],[% Change (Y2 - Y1) / Y1]]="","",IF(AND(_xlfn.ISFORMULA(Tbl_A2_Syntax_ANS[[#This Row],[% Change (Y2 - Y1) / Y1]]),EXACT(Tbl_A2_Syntax_ANS[[#This Row],[% Change (Y2 - Y1) / Y1]],Tbl_A2_Syntax_ANS[[#This Row],[% Change (Y2 - Y1) / Y1 ANS]])),Rng_Lkp_AnswerStatus_Good,Rng_Lkp_AnswerStatus_Bad)),Rng_Lkp_AnswerStatus_Bad)</f>
        <v>Correct</v>
      </c>
      <c r="H13" s="45">
        <v>0</v>
      </c>
      <c r="I13" s="43">
        <f>Tbl_A2_Syntax_ANS[[#This Row],[Member Dues Year 1]]^2</f>
        <v>1000000</v>
      </c>
      <c r="J13" s="27" t="str">
        <f>IFERROR(IF(Tbl_A2_Syntax_ANS[[#This Row],[Member Dues Y1^2]]="","",IF(AND(_xlfn.ISFORMULA(Tbl_A2_Syntax_ANS[[#This Row],[Member Dues Y1^2]]),EXACT(Tbl_A2_Syntax_ANS[[#This Row],[Member Dues Y1^2]],Tbl_A2_Syntax_ANS[[#This Row],[Membership Dues Y1^2 ANS]])),Rng_Lkp_AnswerStatus_Good,Rng_Lkp_AnswerStatus_Bad)),Rng_Lkp_AnswerStatus_Bad)</f>
        <v>Correct</v>
      </c>
      <c r="K13" s="46">
        <v>1000000</v>
      </c>
      <c r="L13" s="80" t="b">
        <f>Tbl_A2_Syntax_ANS[[#This Row],[Member Dues Year 1]]&lt;=Tbl_A2_Syntax_ANS[[#This Row],[Member Dues Year 2]]</f>
        <v>1</v>
      </c>
      <c r="M13" s="27" t="str">
        <f>IFERROR(IF(Tbl_A2_Syntax_ANS[[#This Row],[Is Y1 Less Than or Equal to Y2]]="","",IF(AND(_xlfn.ISFORMULA(Tbl_A2_Syntax_ANS[[#This Row],[Is Y1 Less Than or Equal to Y2]]),EXACT(Tbl_A2_Syntax_ANS[[#This Row],[Is Y1 Less Than or Equal to Y2]],Tbl_A2_Syntax_ANS[[#This Row],[Is Y1 Less Than or Equal to Y2 ANS]])),Rng_Lkp_AnswerStatus_Good,Rng_Lkp_AnswerStatus_Bad)),Rng_Lkp_AnswerStatus_Bad)</f>
        <v>Correct</v>
      </c>
      <c r="N13" s="25" t="b">
        <v>1</v>
      </c>
      <c r="O13" s="80" t="b">
        <f>Tbl_A2_Syntax_ANS[[#This Row],[Member Dues Year 1]]=Tbl_A2_Syntax_ANS[[#This Row],[Member Dues Year 2]]</f>
        <v>1</v>
      </c>
      <c r="P13" s="27" t="str">
        <f>IFERROR(IF(Tbl_A2_Syntax_ANS[[#This Row],[Is Y1 Equal to Y2]]="","",IF(AND(_xlfn.ISFORMULA(Tbl_A2_Syntax_ANS[[#This Row],[Is Y1 Equal to Y2]]),EXACT(Tbl_A2_Syntax_ANS[[#This Row],[Is Y1 Equal to Y2]],Tbl_A2_Syntax_ANS[[#This Row],[Is Y1 Equal to Y2 ANS]])),Rng_Lkp_AnswerStatus_Good,Rng_Lkp_AnswerStatus_Bad)),Rng_Lkp_AnswerStatus_Bad)</f>
        <v>Correct</v>
      </c>
      <c r="Q13" s="81" t="b">
        <v>1</v>
      </c>
      <c r="R13" s="80" t="b">
        <f>Tbl_A2_Syntax_ANS[[#This Row],[Member Dues Year 1]]&lt;&gt;Tbl_A2_Syntax_ANS[[#This Row],[Member Dues Year 2]]</f>
        <v>0</v>
      </c>
      <c r="S13" s="48" t="str">
        <f>IFERROR(IF(Tbl_A2_Syntax_ANS[[#This Row],[Is Y1 Not Equal to Y2]]="","",IF(AND(_xlfn.ISFORMULA(Tbl_A2_Syntax_ANS[[#This Row],[Is Y1 Not Equal to Y2]]),EXACT(Tbl_A2_Syntax_ANS[[#This Row],[Is Y1 Not Equal to Y2]],Tbl_A2_Syntax_ANS[[#This Row],[Is Y1 Not Equal to Y2 ANS]])),Rng_Lkp_AnswerStatus_Good,Rng_Lkp_AnswerStatus_Bad)),Rng_Lkp_AnswerStatus_Bad)</f>
        <v>Correct</v>
      </c>
      <c r="T13" s="81" t="b">
        <v>0</v>
      </c>
      <c r="U13" s="83" t="str">
        <f>Tbl_A2_Syntax_ANS[[#This Row],[Account ID]] &amp; ": " &amp; Tbl_A2_Syntax_ANS[[#This Row],[Full Name]]</f>
        <v>1049: Carma Heusen</v>
      </c>
      <c r="V13" s="48" t="str">
        <f>IFERROR(IF(Tbl_A2_Syntax_ANS[[#This Row],[Account ID: Full Name]]="","",IF(AND(_xlfn.ISFORMULA(Tbl_A2_Syntax_ANS[[#This Row],[Account ID: Full Name]]),EXACT(Tbl_A2_Syntax_ANS[[#This Row],[Account ID: Full Name]],Tbl_A2_Syntax_ANS[[#This Row],[Account ID: Full Name ANS]])),Rng_Lkp_AnswerStatus_Good,Rng_Lkp_AnswerStatus_Bad)),Rng_Lkp_AnswerStatus_Bad)</f>
        <v>Correct</v>
      </c>
      <c r="W13" s="85" t="s">
        <v>225</v>
      </c>
    </row>
    <row r="14" spans="1:23" x14ac:dyDescent="0.25">
      <c r="B14" s="11">
        <v>2278</v>
      </c>
      <c r="C14" s="12" t="s">
        <v>141</v>
      </c>
      <c r="D14" s="86">
        <v>750</v>
      </c>
      <c r="E14" s="86">
        <v>1000</v>
      </c>
      <c r="F14" s="78">
        <f>(Tbl_A2_Syntax_ANS[[#This Row],[Member Dues Year 2]]-Tbl_A2_Syntax_ANS[[#This Row],[Member Dues Year 1]]) / Tbl_A2_Syntax_ANS[[#This Row],[Member Dues Year 1]]</f>
        <v>0.33333333333333331</v>
      </c>
      <c r="G14" s="27" t="str">
        <f>IFERROR(IF(Tbl_A2_Syntax_ANS[[#This Row],[% Change (Y2 - Y1) / Y1]]="","",IF(AND(_xlfn.ISFORMULA(Tbl_A2_Syntax_ANS[[#This Row],[% Change (Y2 - Y1) / Y1]]),EXACT(Tbl_A2_Syntax_ANS[[#This Row],[% Change (Y2 - Y1) / Y1]],Tbl_A2_Syntax_ANS[[#This Row],[% Change (Y2 - Y1) / Y1 ANS]])),Rng_Lkp_AnswerStatus_Good,Rng_Lkp_AnswerStatus_Bad)),Rng_Lkp_AnswerStatus_Bad)</f>
        <v>Correct</v>
      </c>
      <c r="H14" s="45">
        <v>0.33333333333333331</v>
      </c>
      <c r="I14" s="43">
        <f>Tbl_A2_Syntax_ANS[[#This Row],[Member Dues Year 1]]^2</f>
        <v>562500</v>
      </c>
      <c r="J14" s="27" t="str">
        <f>IFERROR(IF(Tbl_A2_Syntax_ANS[[#This Row],[Member Dues Y1^2]]="","",IF(AND(_xlfn.ISFORMULA(Tbl_A2_Syntax_ANS[[#This Row],[Member Dues Y1^2]]),EXACT(Tbl_A2_Syntax_ANS[[#This Row],[Member Dues Y1^2]],Tbl_A2_Syntax_ANS[[#This Row],[Membership Dues Y1^2 ANS]])),Rng_Lkp_AnswerStatus_Good,Rng_Lkp_AnswerStatus_Bad)),Rng_Lkp_AnswerStatus_Bad)</f>
        <v>Correct</v>
      </c>
      <c r="K14" s="46">
        <v>562500</v>
      </c>
      <c r="L14" s="80" t="b">
        <f>Tbl_A2_Syntax_ANS[[#This Row],[Member Dues Year 1]]&lt;=Tbl_A2_Syntax_ANS[[#This Row],[Member Dues Year 2]]</f>
        <v>1</v>
      </c>
      <c r="M14" s="27" t="str">
        <f>IFERROR(IF(Tbl_A2_Syntax_ANS[[#This Row],[Is Y1 Less Than or Equal to Y2]]="","",IF(AND(_xlfn.ISFORMULA(Tbl_A2_Syntax_ANS[[#This Row],[Is Y1 Less Than or Equal to Y2]]),EXACT(Tbl_A2_Syntax_ANS[[#This Row],[Is Y1 Less Than or Equal to Y2]],Tbl_A2_Syntax_ANS[[#This Row],[Is Y1 Less Than or Equal to Y2 ANS]])),Rng_Lkp_AnswerStatus_Good,Rng_Lkp_AnswerStatus_Bad)),Rng_Lkp_AnswerStatus_Bad)</f>
        <v>Correct</v>
      </c>
      <c r="N14" s="25" t="b">
        <v>1</v>
      </c>
      <c r="O14" s="80" t="b">
        <f>Tbl_A2_Syntax_ANS[[#This Row],[Member Dues Year 1]]=Tbl_A2_Syntax_ANS[[#This Row],[Member Dues Year 2]]</f>
        <v>0</v>
      </c>
      <c r="P14" s="27" t="str">
        <f>IFERROR(IF(Tbl_A2_Syntax_ANS[[#This Row],[Is Y1 Equal to Y2]]="","",IF(AND(_xlfn.ISFORMULA(Tbl_A2_Syntax_ANS[[#This Row],[Is Y1 Equal to Y2]]),EXACT(Tbl_A2_Syntax_ANS[[#This Row],[Is Y1 Equal to Y2]],Tbl_A2_Syntax_ANS[[#This Row],[Is Y1 Equal to Y2 ANS]])),Rng_Lkp_AnswerStatus_Good,Rng_Lkp_AnswerStatus_Bad)),Rng_Lkp_AnswerStatus_Bad)</f>
        <v>Correct</v>
      </c>
      <c r="Q14" s="81" t="b">
        <v>0</v>
      </c>
      <c r="R14" s="80" t="b">
        <f>Tbl_A2_Syntax_ANS[[#This Row],[Member Dues Year 1]]&lt;&gt;Tbl_A2_Syntax_ANS[[#This Row],[Member Dues Year 2]]</f>
        <v>1</v>
      </c>
      <c r="S14" s="48" t="str">
        <f>IFERROR(IF(Tbl_A2_Syntax_ANS[[#This Row],[Is Y1 Not Equal to Y2]]="","",IF(AND(_xlfn.ISFORMULA(Tbl_A2_Syntax_ANS[[#This Row],[Is Y1 Not Equal to Y2]]),EXACT(Tbl_A2_Syntax_ANS[[#This Row],[Is Y1 Not Equal to Y2]],Tbl_A2_Syntax_ANS[[#This Row],[Is Y1 Not Equal to Y2 ANS]])),Rng_Lkp_AnswerStatus_Good,Rng_Lkp_AnswerStatus_Bad)),Rng_Lkp_AnswerStatus_Bad)</f>
        <v>Correct</v>
      </c>
      <c r="T14" s="81" t="b">
        <v>1</v>
      </c>
      <c r="U14" s="83" t="str">
        <f>Tbl_A2_Syntax_ANS[[#This Row],[Account ID]] &amp; ": " &amp; Tbl_A2_Syntax_ANS[[#This Row],[Full Name]]</f>
        <v>2278: Malinda Hoc</v>
      </c>
      <c r="V14" s="48" t="str">
        <f>IFERROR(IF(Tbl_A2_Syntax_ANS[[#This Row],[Account ID: Full Name]]="","",IF(AND(_xlfn.ISFORMULA(Tbl_A2_Syntax_ANS[[#This Row],[Account ID: Full Name]]),EXACT(Tbl_A2_Syntax_ANS[[#This Row],[Account ID: Full Name]],Tbl_A2_Syntax_ANS[[#This Row],[Account ID: Full Name ANS]])),Rng_Lkp_AnswerStatus_Good,Rng_Lkp_AnswerStatus_Bad)),Rng_Lkp_AnswerStatus_Bad)</f>
        <v>Correct</v>
      </c>
      <c r="W14" s="85" t="s">
        <v>226</v>
      </c>
    </row>
    <row r="15" spans="1:23" x14ac:dyDescent="0.25">
      <c r="B15" s="11">
        <v>4071</v>
      </c>
      <c r="C15" s="12" t="s">
        <v>15</v>
      </c>
      <c r="D15" s="86">
        <v>75</v>
      </c>
      <c r="E15" s="86">
        <v>150</v>
      </c>
      <c r="F15" s="78">
        <f>(Tbl_A2_Syntax_ANS[[#This Row],[Member Dues Year 2]]-Tbl_A2_Syntax_ANS[[#This Row],[Member Dues Year 1]]) / Tbl_A2_Syntax_ANS[[#This Row],[Member Dues Year 1]]</f>
        <v>1</v>
      </c>
      <c r="G15" s="27" t="str">
        <f>IFERROR(IF(Tbl_A2_Syntax_ANS[[#This Row],[% Change (Y2 - Y1) / Y1]]="","",IF(AND(_xlfn.ISFORMULA(Tbl_A2_Syntax_ANS[[#This Row],[% Change (Y2 - Y1) / Y1]]),EXACT(Tbl_A2_Syntax_ANS[[#This Row],[% Change (Y2 - Y1) / Y1]],Tbl_A2_Syntax_ANS[[#This Row],[% Change (Y2 - Y1) / Y1 ANS]])),Rng_Lkp_AnswerStatus_Good,Rng_Lkp_AnswerStatus_Bad)),Rng_Lkp_AnswerStatus_Bad)</f>
        <v>Correct</v>
      </c>
      <c r="H15" s="45">
        <v>1</v>
      </c>
      <c r="I15" s="43">
        <f>Tbl_A2_Syntax_ANS[[#This Row],[Member Dues Year 1]]^2</f>
        <v>5625</v>
      </c>
      <c r="J15" s="27" t="str">
        <f>IFERROR(IF(Tbl_A2_Syntax_ANS[[#This Row],[Member Dues Y1^2]]="","",IF(AND(_xlfn.ISFORMULA(Tbl_A2_Syntax_ANS[[#This Row],[Member Dues Y1^2]]),EXACT(Tbl_A2_Syntax_ANS[[#This Row],[Member Dues Y1^2]],Tbl_A2_Syntax_ANS[[#This Row],[Membership Dues Y1^2 ANS]])),Rng_Lkp_AnswerStatus_Good,Rng_Lkp_AnswerStatus_Bad)),Rng_Lkp_AnswerStatus_Bad)</f>
        <v>Correct</v>
      </c>
      <c r="K15" s="46">
        <v>5625</v>
      </c>
      <c r="L15" s="80" t="b">
        <f>Tbl_A2_Syntax_ANS[[#This Row],[Member Dues Year 1]]&lt;=Tbl_A2_Syntax_ANS[[#This Row],[Member Dues Year 2]]</f>
        <v>1</v>
      </c>
      <c r="M15" s="27" t="str">
        <f>IFERROR(IF(Tbl_A2_Syntax_ANS[[#This Row],[Is Y1 Less Than or Equal to Y2]]="","",IF(AND(_xlfn.ISFORMULA(Tbl_A2_Syntax_ANS[[#This Row],[Is Y1 Less Than or Equal to Y2]]),EXACT(Tbl_A2_Syntax_ANS[[#This Row],[Is Y1 Less Than or Equal to Y2]],Tbl_A2_Syntax_ANS[[#This Row],[Is Y1 Less Than or Equal to Y2 ANS]])),Rng_Lkp_AnswerStatus_Good,Rng_Lkp_AnswerStatus_Bad)),Rng_Lkp_AnswerStatus_Bad)</f>
        <v>Correct</v>
      </c>
      <c r="N15" s="25" t="b">
        <v>1</v>
      </c>
      <c r="O15" s="80" t="b">
        <f>Tbl_A2_Syntax_ANS[[#This Row],[Member Dues Year 1]]=Tbl_A2_Syntax_ANS[[#This Row],[Member Dues Year 2]]</f>
        <v>0</v>
      </c>
      <c r="P15" s="27" t="str">
        <f>IFERROR(IF(Tbl_A2_Syntax_ANS[[#This Row],[Is Y1 Equal to Y2]]="","",IF(AND(_xlfn.ISFORMULA(Tbl_A2_Syntax_ANS[[#This Row],[Is Y1 Equal to Y2]]),EXACT(Tbl_A2_Syntax_ANS[[#This Row],[Is Y1 Equal to Y2]],Tbl_A2_Syntax_ANS[[#This Row],[Is Y1 Equal to Y2 ANS]])),Rng_Lkp_AnswerStatus_Good,Rng_Lkp_AnswerStatus_Bad)),Rng_Lkp_AnswerStatus_Bad)</f>
        <v>Correct</v>
      </c>
      <c r="Q15" s="81" t="b">
        <v>0</v>
      </c>
      <c r="R15" s="80" t="b">
        <f>Tbl_A2_Syntax_ANS[[#This Row],[Member Dues Year 1]]&lt;&gt;Tbl_A2_Syntax_ANS[[#This Row],[Member Dues Year 2]]</f>
        <v>1</v>
      </c>
      <c r="S15" s="48" t="str">
        <f>IFERROR(IF(Tbl_A2_Syntax_ANS[[#This Row],[Is Y1 Not Equal to Y2]]="","",IF(AND(_xlfn.ISFORMULA(Tbl_A2_Syntax_ANS[[#This Row],[Is Y1 Not Equal to Y2]]),EXACT(Tbl_A2_Syntax_ANS[[#This Row],[Is Y1 Not Equal to Y2]],Tbl_A2_Syntax_ANS[[#This Row],[Is Y1 Not Equal to Y2 ANS]])),Rng_Lkp_AnswerStatus_Good,Rng_Lkp_AnswerStatus_Bad)),Rng_Lkp_AnswerStatus_Bad)</f>
        <v>Correct</v>
      </c>
      <c r="T15" s="81" t="b">
        <v>1</v>
      </c>
      <c r="U15" s="83" t="str">
        <f>Tbl_A2_Syntax_ANS[[#This Row],[Account ID]] &amp; ": " &amp; Tbl_A2_Syntax_ANS[[#This Row],[Full Name]]</f>
        <v>4071: Natalie Fern</v>
      </c>
      <c r="V15" s="48" t="str">
        <f>IFERROR(IF(Tbl_A2_Syntax_ANS[[#This Row],[Account ID: Full Name]]="","",IF(AND(_xlfn.ISFORMULA(Tbl_A2_Syntax_ANS[[#This Row],[Account ID: Full Name]]),EXACT(Tbl_A2_Syntax_ANS[[#This Row],[Account ID: Full Name]],Tbl_A2_Syntax_ANS[[#This Row],[Account ID: Full Name ANS]])),Rng_Lkp_AnswerStatus_Good,Rng_Lkp_AnswerStatus_Bad)),Rng_Lkp_AnswerStatus_Bad)</f>
        <v>Correct</v>
      </c>
      <c r="W15" s="85" t="s">
        <v>113</v>
      </c>
    </row>
    <row r="16" spans="1:23" x14ac:dyDescent="0.25">
      <c r="B16" s="11">
        <v>1066</v>
      </c>
      <c r="C16" s="12" t="s">
        <v>16</v>
      </c>
      <c r="D16" s="86">
        <v>75</v>
      </c>
      <c r="E16" s="86">
        <v>125</v>
      </c>
      <c r="F16" s="78">
        <f>(Tbl_A2_Syntax_ANS[[#This Row],[Member Dues Year 2]]-Tbl_A2_Syntax_ANS[[#This Row],[Member Dues Year 1]]) / Tbl_A2_Syntax_ANS[[#This Row],[Member Dues Year 1]]</f>
        <v>0.66666666666666663</v>
      </c>
      <c r="G16" s="27" t="str">
        <f>IFERROR(IF(Tbl_A2_Syntax_ANS[[#This Row],[% Change (Y2 - Y1) / Y1]]="","",IF(AND(_xlfn.ISFORMULA(Tbl_A2_Syntax_ANS[[#This Row],[% Change (Y2 - Y1) / Y1]]),EXACT(Tbl_A2_Syntax_ANS[[#This Row],[% Change (Y2 - Y1) / Y1]],Tbl_A2_Syntax_ANS[[#This Row],[% Change (Y2 - Y1) / Y1 ANS]])),Rng_Lkp_AnswerStatus_Good,Rng_Lkp_AnswerStatus_Bad)),Rng_Lkp_AnswerStatus_Bad)</f>
        <v>Correct</v>
      </c>
      <c r="H16" s="45">
        <v>0.66666666666666663</v>
      </c>
      <c r="I16" s="43">
        <f>Tbl_A2_Syntax_ANS[[#This Row],[Member Dues Year 1]]^2</f>
        <v>5625</v>
      </c>
      <c r="J16" s="27" t="str">
        <f>IFERROR(IF(Tbl_A2_Syntax_ANS[[#This Row],[Member Dues Y1^2]]="","",IF(AND(_xlfn.ISFORMULA(Tbl_A2_Syntax_ANS[[#This Row],[Member Dues Y1^2]]),EXACT(Tbl_A2_Syntax_ANS[[#This Row],[Member Dues Y1^2]],Tbl_A2_Syntax_ANS[[#This Row],[Membership Dues Y1^2 ANS]])),Rng_Lkp_AnswerStatus_Good,Rng_Lkp_AnswerStatus_Bad)),Rng_Lkp_AnswerStatus_Bad)</f>
        <v>Correct</v>
      </c>
      <c r="K16" s="46">
        <v>5625</v>
      </c>
      <c r="L16" s="80" t="b">
        <f>Tbl_A2_Syntax_ANS[[#This Row],[Member Dues Year 1]]&lt;=Tbl_A2_Syntax_ANS[[#This Row],[Member Dues Year 2]]</f>
        <v>1</v>
      </c>
      <c r="M16" s="27" t="str">
        <f>IFERROR(IF(Tbl_A2_Syntax_ANS[[#This Row],[Is Y1 Less Than or Equal to Y2]]="","",IF(AND(_xlfn.ISFORMULA(Tbl_A2_Syntax_ANS[[#This Row],[Is Y1 Less Than or Equal to Y2]]),EXACT(Tbl_A2_Syntax_ANS[[#This Row],[Is Y1 Less Than or Equal to Y2]],Tbl_A2_Syntax_ANS[[#This Row],[Is Y1 Less Than or Equal to Y2 ANS]])),Rng_Lkp_AnswerStatus_Good,Rng_Lkp_AnswerStatus_Bad)),Rng_Lkp_AnswerStatus_Bad)</f>
        <v>Correct</v>
      </c>
      <c r="N16" s="25" t="b">
        <v>1</v>
      </c>
      <c r="O16" s="80" t="b">
        <f>Tbl_A2_Syntax_ANS[[#This Row],[Member Dues Year 1]]=Tbl_A2_Syntax_ANS[[#This Row],[Member Dues Year 2]]</f>
        <v>0</v>
      </c>
      <c r="P16" s="27" t="str">
        <f>IFERROR(IF(Tbl_A2_Syntax_ANS[[#This Row],[Is Y1 Equal to Y2]]="","",IF(AND(_xlfn.ISFORMULA(Tbl_A2_Syntax_ANS[[#This Row],[Is Y1 Equal to Y2]]),EXACT(Tbl_A2_Syntax_ANS[[#This Row],[Is Y1 Equal to Y2]],Tbl_A2_Syntax_ANS[[#This Row],[Is Y1 Equal to Y2 ANS]])),Rng_Lkp_AnswerStatus_Good,Rng_Lkp_AnswerStatus_Bad)),Rng_Lkp_AnswerStatus_Bad)</f>
        <v>Correct</v>
      </c>
      <c r="Q16" s="81" t="b">
        <v>0</v>
      </c>
      <c r="R16" s="80" t="b">
        <f>Tbl_A2_Syntax_ANS[[#This Row],[Member Dues Year 1]]&lt;&gt;Tbl_A2_Syntax_ANS[[#This Row],[Member Dues Year 2]]</f>
        <v>1</v>
      </c>
      <c r="S16" s="48" t="str">
        <f>IFERROR(IF(Tbl_A2_Syntax_ANS[[#This Row],[Is Y1 Not Equal to Y2]]="","",IF(AND(_xlfn.ISFORMULA(Tbl_A2_Syntax_ANS[[#This Row],[Is Y1 Not Equal to Y2]]),EXACT(Tbl_A2_Syntax_ANS[[#This Row],[Is Y1 Not Equal to Y2]],Tbl_A2_Syntax_ANS[[#This Row],[Is Y1 Not Equal to Y2 ANS]])),Rng_Lkp_AnswerStatus_Good,Rng_Lkp_AnswerStatus_Bad)),Rng_Lkp_AnswerStatus_Bad)</f>
        <v>Correct</v>
      </c>
      <c r="T16" s="81" t="b">
        <v>1</v>
      </c>
      <c r="U16" s="83" t="str">
        <f>Tbl_A2_Syntax_ANS[[#This Row],[Account ID]] &amp; ": " &amp; Tbl_A2_Syntax_ANS[[#This Row],[Full Name]]</f>
        <v>1066: Lisha Centini</v>
      </c>
      <c r="V16" s="48" t="str">
        <f>IFERROR(IF(Tbl_A2_Syntax_ANS[[#This Row],[Account ID: Full Name]]="","",IF(AND(_xlfn.ISFORMULA(Tbl_A2_Syntax_ANS[[#This Row],[Account ID: Full Name]]),EXACT(Tbl_A2_Syntax_ANS[[#This Row],[Account ID: Full Name]],Tbl_A2_Syntax_ANS[[#This Row],[Account ID: Full Name ANS]])),Rng_Lkp_AnswerStatus_Good,Rng_Lkp_AnswerStatus_Bad)),Rng_Lkp_AnswerStatus_Bad)</f>
        <v>Correct</v>
      </c>
      <c r="W16" s="85" t="s">
        <v>114</v>
      </c>
    </row>
    <row r="17" spans="2:23" x14ac:dyDescent="0.25">
      <c r="B17" s="11">
        <v>2316</v>
      </c>
      <c r="C17" s="12" t="s">
        <v>144</v>
      </c>
      <c r="D17" s="86">
        <v>72</v>
      </c>
      <c r="E17" s="86">
        <v>18</v>
      </c>
      <c r="F17" s="78">
        <f>(Tbl_A2_Syntax_ANS[[#This Row],[Member Dues Year 2]]-Tbl_A2_Syntax_ANS[[#This Row],[Member Dues Year 1]]) / Tbl_A2_Syntax_ANS[[#This Row],[Member Dues Year 1]]</f>
        <v>-0.75</v>
      </c>
      <c r="G17" s="27" t="str">
        <f>IFERROR(IF(Tbl_A2_Syntax_ANS[[#This Row],[% Change (Y2 - Y1) / Y1]]="","",IF(AND(_xlfn.ISFORMULA(Tbl_A2_Syntax_ANS[[#This Row],[% Change (Y2 - Y1) / Y1]]),EXACT(Tbl_A2_Syntax_ANS[[#This Row],[% Change (Y2 - Y1) / Y1]],Tbl_A2_Syntax_ANS[[#This Row],[% Change (Y2 - Y1) / Y1 ANS]])),Rng_Lkp_AnswerStatus_Good,Rng_Lkp_AnswerStatus_Bad)),Rng_Lkp_AnswerStatus_Bad)</f>
        <v>Correct</v>
      </c>
      <c r="H17" s="45">
        <v>-0.75</v>
      </c>
      <c r="I17" s="43">
        <f>Tbl_A2_Syntax_ANS[[#This Row],[Member Dues Year 1]]^2</f>
        <v>5184</v>
      </c>
      <c r="J17" s="27" t="str">
        <f>IFERROR(IF(Tbl_A2_Syntax_ANS[[#This Row],[Member Dues Y1^2]]="","",IF(AND(_xlfn.ISFORMULA(Tbl_A2_Syntax_ANS[[#This Row],[Member Dues Y1^2]]),EXACT(Tbl_A2_Syntax_ANS[[#This Row],[Member Dues Y1^2]],Tbl_A2_Syntax_ANS[[#This Row],[Membership Dues Y1^2 ANS]])),Rng_Lkp_AnswerStatus_Good,Rng_Lkp_AnswerStatus_Bad)),Rng_Lkp_AnswerStatus_Bad)</f>
        <v>Correct</v>
      </c>
      <c r="K17" s="46">
        <v>5184</v>
      </c>
      <c r="L17" s="80" t="b">
        <f>Tbl_A2_Syntax_ANS[[#This Row],[Member Dues Year 1]]&lt;=Tbl_A2_Syntax_ANS[[#This Row],[Member Dues Year 2]]</f>
        <v>0</v>
      </c>
      <c r="M17" s="27" t="str">
        <f>IFERROR(IF(Tbl_A2_Syntax_ANS[[#This Row],[Is Y1 Less Than or Equal to Y2]]="","",IF(AND(_xlfn.ISFORMULA(Tbl_A2_Syntax_ANS[[#This Row],[Is Y1 Less Than or Equal to Y2]]),EXACT(Tbl_A2_Syntax_ANS[[#This Row],[Is Y1 Less Than or Equal to Y2]],Tbl_A2_Syntax_ANS[[#This Row],[Is Y1 Less Than or Equal to Y2 ANS]])),Rng_Lkp_AnswerStatus_Good,Rng_Lkp_AnswerStatus_Bad)),Rng_Lkp_AnswerStatus_Bad)</f>
        <v>Correct</v>
      </c>
      <c r="N17" s="25" t="b">
        <v>0</v>
      </c>
      <c r="O17" s="80" t="b">
        <f>Tbl_A2_Syntax_ANS[[#This Row],[Member Dues Year 1]]=Tbl_A2_Syntax_ANS[[#This Row],[Member Dues Year 2]]</f>
        <v>0</v>
      </c>
      <c r="P17" s="27" t="str">
        <f>IFERROR(IF(Tbl_A2_Syntax_ANS[[#This Row],[Is Y1 Equal to Y2]]="","",IF(AND(_xlfn.ISFORMULA(Tbl_A2_Syntax_ANS[[#This Row],[Is Y1 Equal to Y2]]),EXACT(Tbl_A2_Syntax_ANS[[#This Row],[Is Y1 Equal to Y2]],Tbl_A2_Syntax_ANS[[#This Row],[Is Y1 Equal to Y2 ANS]])),Rng_Lkp_AnswerStatus_Good,Rng_Lkp_AnswerStatus_Bad)),Rng_Lkp_AnswerStatus_Bad)</f>
        <v>Correct</v>
      </c>
      <c r="Q17" s="81" t="b">
        <v>0</v>
      </c>
      <c r="R17" s="80" t="b">
        <f>Tbl_A2_Syntax_ANS[[#This Row],[Member Dues Year 1]]&lt;&gt;Tbl_A2_Syntax_ANS[[#This Row],[Member Dues Year 2]]</f>
        <v>1</v>
      </c>
      <c r="S17" s="48" t="str">
        <f>IFERROR(IF(Tbl_A2_Syntax_ANS[[#This Row],[Is Y1 Not Equal to Y2]]="","",IF(AND(_xlfn.ISFORMULA(Tbl_A2_Syntax_ANS[[#This Row],[Is Y1 Not Equal to Y2]]),EXACT(Tbl_A2_Syntax_ANS[[#This Row],[Is Y1 Not Equal to Y2]],Tbl_A2_Syntax_ANS[[#This Row],[Is Y1 Not Equal to Y2 ANS]])),Rng_Lkp_AnswerStatus_Good,Rng_Lkp_AnswerStatus_Bad)),Rng_Lkp_AnswerStatus_Bad)</f>
        <v>Correct</v>
      </c>
      <c r="T17" s="81" t="b">
        <v>1</v>
      </c>
      <c r="U17" s="83" t="str">
        <f>Tbl_A2_Syntax_ANS[[#This Row],[Account ID]] &amp; ": " &amp; Tbl_A2_Syntax_ANS[[#This Row],[Full Name]]</f>
        <v>2316: Arlene Klus</v>
      </c>
      <c r="V17" s="48" t="str">
        <f>IFERROR(IF(Tbl_A2_Syntax_ANS[[#This Row],[Account ID: Full Name]]="","",IF(AND(_xlfn.ISFORMULA(Tbl_A2_Syntax_ANS[[#This Row],[Account ID: Full Name]]),EXACT(Tbl_A2_Syntax_ANS[[#This Row],[Account ID: Full Name]],Tbl_A2_Syntax_ANS[[#This Row],[Account ID: Full Name ANS]])),Rng_Lkp_AnswerStatus_Good,Rng_Lkp_AnswerStatus_Bad)),Rng_Lkp_AnswerStatus_Bad)</f>
        <v>Correct</v>
      </c>
      <c r="W17" s="85" t="s">
        <v>227</v>
      </c>
    </row>
    <row r="18" spans="2:23" x14ac:dyDescent="0.25">
      <c r="B18" s="14">
        <v>3334</v>
      </c>
      <c r="C18" s="15" t="s">
        <v>17</v>
      </c>
      <c r="D18" s="87">
        <v>180</v>
      </c>
      <c r="E18" s="87">
        <v>80</v>
      </c>
      <c r="F18" s="78">
        <f>(Tbl_A2_Syntax_ANS[[#This Row],[Member Dues Year 2]]-Tbl_A2_Syntax_ANS[[#This Row],[Member Dues Year 1]]) / Tbl_A2_Syntax_ANS[[#This Row],[Member Dues Year 1]]</f>
        <v>-0.55555555555555558</v>
      </c>
      <c r="G18" s="27" t="str">
        <f>IFERROR(IF(Tbl_A2_Syntax_ANS[[#This Row],[% Change (Y2 - Y1) / Y1]]="","",IF(AND(_xlfn.ISFORMULA(Tbl_A2_Syntax_ANS[[#This Row],[% Change (Y2 - Y1) / Y1]]),EXACT(Tbl_A2_Syntax_ANS[[#This Row],[% Change (Y2 - Y1) / Y1]],Tbl_A2_Syntax_ANS[[#This Row],[% Change (Y2 - Y1) / Y1 ANS]])),Rng_Lkp_AnswerStatus_Good,Rng_Lkp_AnswerStatus_Bad)),Rng_Lkp_AnswerStatus_Bad)</f>
        <v>Correct</v>
      </c>
      <c r="H18" s="45">
        <v>-0.55555555555555558</v>
      </c>
      <c r="I18" s="43">
        <f>Tbl_A2_Syntax_ANS[[#This Row],[Member Dues Year 1]]^2</f>
        <v>32400</v>
      </c>
      <c r="J18" s="27" t="str">
        <f>IFERROR(IF(Tbl_A2_Syntax_ANS[[#This Row],[Member Dues Y1^2]]="","",IF(AND(_xlfn.ISFORMULA(Tbl_A2_Syntax_ANS[[#This Row],[Member Dues Y1^2]]),EXACT(Tbl_A2_Syntax_ANS[[#This Row],[Member Dues Y1^2]],Tbl_A2_Syntax_ANS[[#This Row],[Membership Dues Y1^2 ANS]])),Rng_Lkp_AnswerStatus_Good,Rng_Lkp_AnswerStatus_Bad)),Rng_Lkp_AnswerStatus_Bad)</f>
        <v>Correct</v>
      </c>
      <c r="K18" s="46">
        <v>32400</v>
      </c>
      <c r="L18" s="80" t="b">
        <f>Tbl_A2_Syntax_ANS[[#This Row],[Member Dues Year 1]]&lt;=Tbl_A2_Syntax_ANS[[#This Row],[Member Dues Year 2]]</f>
        <v>0</v>
      </c>
      <c r="M18" s="27" t="str">
        <f>IFERROR(IF(Tbl_A2_Syntax_ANS[[#This Row],[Is Y1 Less Than or Equal to Y2]]="","",IF(AND(_xlfn.ISFORMULA(Tbl_A2_Syntax_ANS[[#This Row],[Is Y1 Less Than or Equal to Y2]]),EXACT(Tbl_A2_Syntax_ANS[[#This Row],[Is Y1 Less Than or Equal to Y2]],Tbl_A2_Syntax_ANS[[#This Row],[Is Y1 Less Than or Equal to Y2 ANS]])),Rng_Lkp_AnswerStatus_Good,Rng_Lkp_AnswerStatus_Bad)),Rng_Lkp_AnswerStatus_Bad)</f>
        <v>Correct</v>
      </c>
      <c r="N18" s="25" t="b">
        <v>0</v>
      </c>
      <c r="O18" s="80" t="b">
        <f>Tbl_A2_Syntax_ANS[[#This Row],[Member Dues Year 1]]=Tbl_A2_Syntax_ANS[[#This Row],[Member Dues Year 2]]</f>
        <v>0</v>
      </c>
      <c r="P18" s="27" t="str">
        <f>IFERROR(IF(Tbl_A2_Syntax_ANS[[#This Row],[Is Y1 Equal to Y2]]="","",IF(AND(_xlfn.ISFORMULA(Tbl_A2_Syntax_ANS[[#This Row],[Is Y1 Equal to Y2]]),EXACT(Tbl_A2_Syntax_ANS[[#This Row],[Is Y1 Equal to Y2]],Tbl_A2_Syntax_ANS[[#This Row],[Is Y1 Equal to Y2 ANS]])),Rng_Lkp_AnswerStatus_Good,Rng_Lkp_AnswerStatus_Bad)),Rng_Lkp_AnswerStatus_Bad)</f>
        <v>Correct</v>
      </c>
      <c r="Q18" s="81" t="b">
        <v>0</v>
      </c>
      <c r="R18" s="80" t="b">
        <f>Tbl_A2_Syntax_ANS[[#This Row],[Member Dues Year 1]]&lt;&gt;Tbl_A2_Syntax_ANS[[#This Row],[Member Dues Year 2]]</f>
        <v>1</v>
      </c>
      <c r="S18" s="48" t="str">
        <f>IFERROR(IF(Tbl_A2_Syntax_ANS[[#This Row],[Is Y1 Not Equal to Y2]]="","",IF(AND(_xlfn.ISFORMULA(Tbl_A2_Syntax_ANS[[#This Row],[Is Y1 Not Equal to Y2]]),EXACT(Tbl_A2_Syntax_ANS[[#This Row],[Is Y1 Not Equal to Y2]],Tbl_A2_Syntax_ANS[[#This Row],[Is Y1 Not Equal to Y2 ANS]])),Rng_Lkp_AnswerStatus_Good,Rng_Lkp_AnswerStatus_Bad)),Rng_Lkp_AnswerStatus_Bad)</f>
        <v>Correct</v>
      </c>
      <c r="T18" s="81" t="b">
        <v>1</v>
      </c>
      <c r="U18" s="83" t="str">
        <f>Tbl_A2_Syntax_ANS[[#This Row],[Account ID]] &amp; ": " &amp; Tbl_A2_Syntax_ANS[[#This Row],[Full Name]]</f>
        <v>3334: Alease Buemi</v>
      </c>
      <c r="V18" s="48" t="str">
        <f>IFERROR(IF(Tbl_A2_Syntax_ANS[[#This Row],[Account ID: Full Name]]="","",IF(AND(_xlfn.ISFORMULA(Tbl_A2_Syntax_ANS[[#This Row],[Account ID: Full Name]]),EXACT(Tbl_A2_Syntax_ANS[[#This Row],[Account ID: Full Name]],Tbl_A2_Syntax_ANS[[#This Row],[Account ID: Full Name ANS]])),Rng_Lkp_AnswerStatus_Good,Rng_Lkp_AnswerStatus_Bad)),Rng_Lkp_AnswerStatus_Bad)</f>
        <v>Correct</v>
      </c>
      <c r="W18" s="85" t="s">
        <v>115</v>
      </c>
    </row>
    <row r="19" spans="2:23" x14ac:dyDescent="0.25">
      <c r="B19" s="14">
        <v>1084</v>
      </c>
      <c r="C19" s="15" t="s">
        <v>145</v>
      </c>
      <c r="D19" s="87">
        <v>300</v>
      </c>
      <c r="E19" s="87">
        <v>100</v>
      </c>
      <c r="F19" s="78">
        <f>(Tbl_A2_Syntax_ANS[[#This Row],[Member Dues Year 2]]-Tbl_A2_Syntax_ANS[[#This Row],[Member Dues Year 1]]) / Tbl_A2_Syntax_ANS[[#This Row],[Member Dues Year 1]]</f>
        <v>-0.66666666666666663</v>
      </c>
      <c r="G19" s="27" t="str">
        <f>IFERROR(IF(Tbl_A2_Syntax_ANS[[#This Row],[% Change (Y2 - Y1) / Y1]]="","",IF(AND(_xlfn.ISFORMULA(Tbl_A2_Syntax_ANS[[#This Row],[% Change (Y2 - Y1) / Y1]]),EXACT(Tbl_A2_Syntax_ANS[[#This Row],[% Change (Y2 - Y1) / Y1]],Tbl_A2_Syntax_ANS[[#This Row],[% Change (Y2 - Y1) / Y1 ANS]])),Rng_Lkp_AnswerStatus_Good,Rng_Lkp_AnswerStatus_Bad)),Rng_Lkp_AnswerStatus_Bad)</f>
        <v>Correct</v>
      </c>
      <c r="H19" s="45">
        <v>-0.66666666666666663</v>
      </c>
      <c r="I19" s="43">
        <f>Tbl_A2_Syntax_ANS[[#This Row],[Member Dues Year 1]]^2</f>
        <v>90000</v>
      </c>
      <c r="J19" s="27" t="str">
        <f>IFERROR(IF(Tbl_A2_Syntax_ANS[[#This Row],[Member Dues Y1^2]]="","",IF(AND(_xlfn.ISFORMULA(Tbl_A2_Syntax_ANS[[#This Row],[Member Dues Y1^2]]),EXACT(Tbl_A2_Syntax_ANS[[#This Row],[Member Dues Y1^2]],Tbl_A2_Syntax_ANS[[#This Row],[Membership Dues Y1^2 ANS]])),Rng_Lkp_AnswerStatus_Good,Rng_Lkp_AnswerStatus_Bad)),Rng_Lkp_AnswerStatus_Bad)</f>
        <v>Correct</v>
      </c>
      <c r="K19" s="46">
        <v>90000</v>
      </c>
      <c r="L19" s="80" t="b">
        <f>Tbl_A2_Syntax_ANS[[#This Row],[Member Dues Year 1]]&lt;=Tbl_A2_Syntax_ANS[[#This Row],[Member Dues Year 2]]</f>
        <v>0</v>
      </c>
      <c r="M19" s="27" t="str">
        <f>IFERROR(IF(Tbl_A2_Syntax_ANS[[#This Row],[Is Y1 Less Than or Equal to Y2]]="","",IF(AND(_xlfn.ISFORMULA(Tbl_A2_Syntax_ANS[[#This Row],[Is Y1 Less Than or Equal to Y2]]),EXACT(Tbl_A2_Syntax_ANS[[#This Row],[Is Y1 Less Than or Equal to Y2]],Tbl_A2_Syntax_ANS[[#This Row],[Is Y1 Less Than or Equal to Y2 ANS]])),Rng_Lkp_AnswerStatus_Good,Rng_Lkp_AnswerStatus_Bad)),Rng_Lkp_AnswerStatus_Bad)</f>
        <v>Correct</v>
      </c>
      <c r="N19" s="25" t="b">
        <v>0</v>
      </c>
      <c r="O19" s="80" t="b">
        <f>Tbl_A2_Syntax_ANS[[#This Row],[Member Dues Year 1]]=Tbl_A2_Syntax_ANS[[#This Row],[Member Dues Year 2]]</f>
        <v>0</v>
      </c>
      <c r="P19" s="27" t="str">
        <f>IFERROR(IF(Tbl_A2_Syntax_ANS[[#This Row],[Is Y1 Equal to Y2]]="","",IF(AND(_xlfn.ISFORMULA(Tbl_A2_Syntax_ANS[[#This Row],[Is Y1 Equal to Y2]]),EXACT(Tbl_A2_Syntax_ANS[[#This Row],[Is Y1 Equal to Y2]],Tbl_A2_Syntax_ANS[[#This Row],[Is Y1 Equal to Y2 ANS]])),Rng_Lkp_AnswerStatus_Good,Rng_Lkp_AnswerStatus_Bad)),Rng_Lkp_AnswerStatus_Bad)</f>
        <v>Correct</v>
      </c>
      <c r="Q19" s="81" t="b">
        <v>0</v>
      </c>
      <c r="R19" s="80" t="b">
        <f>Tbl_A2_Syntax_ANS[[#This Row],[Member Dues Year 1]]&lt;&gt;Tbl_A2_Syntax_ANS[[#This Row],[Member Dues Year 2]]</f>
        <v>1</v>
      </c>
      <c r="S19" s="48" t="str">
        <f>IFERROR(IF(Tbl_A2_Syntax_ANS[[#This Row],[Is Y1 Not Equal to Y2]]="","",IF(AND(_xlfn.ISFORMULA(Tbl_A2_Syntax_ANS[[#This Row],[Is Y1 Not Equal to Y2]]),EXACT(Tbl_A2_Syntax_ANS[[#This Row],[Is Y1 Not Equal to Y2]],Tbl_A2_Syntax_ANS[[#This Row],[Is Y1 Not Equal to Y2 ANS]])),Rng_Lkp_AnswerStatus_Good,Rng_Lkp_AnswerStatus_Bad)),Rng_Lkp_AnswerStatus_Bad)</f>
        <v>Correct</v>
      </c>
      <c r="T19" s="81" t="b">
        <v>1</v>
      </c>
      <c r="U19" s="83" t="str">
        <f>Tbl_A2_Syntax_ANS[[#This Row],[Account ID]] &amp; ": " &amp; Tbl_A2_Syntax_ANS[[#This Row],[Full Name]]</f>
        <v>1084: Louisa Croner</v>
      </c>
      <c r="V19" s="48" t="str">
        <f>IFERROR(IF(Tbl_A2_Syntax_ANS[[#This Row],[Account ID: Full Name]]="","",IF(AND(_xlfn.ISFORMULA(Tbl_A2_Syntax_ANS[[#This Row],[Account ID: Full Name]]),EXACT(Tbl_A2_Syntax_ANS[[#This Row],[Account ID: Full Name]],Tbl_A2_Syntax_ANS[[#This Row],[Account ID: Full Name ANS]])),Rng_Lkp_AnswerStatus_Good,Rng_Lkp_AnswerStatus_Bad)),Rng_Lkp_AnswerStatus_Bad)</f>
        <v>Correct</v>
      </c>
      <c r="W19" s="85" t="s">
        <v>228</v>
      </c>
    </row>
    <row r="20" spans="2:23" x14ac:dyDescent="0.25">
      <c r="B20" s="14">
        <v>2458</v>
      </c>
      <c r="C20" s="15" t="s">
        <v>18</v>
      </c>
      <c r="D20" s="87">
        <v>300</v>
      </c>
      <c r="E20" s="87">
        <v>800</v>
      </c>
      <c r="F20" s="78">
        <f>(Tbl_A2_Syntax_ANS[[#This Row],[Member Dues Year 2]]-Tbl_A2_Syntax_ANS[[#This Row],[Member Dues Year 1]]) / Tbl_A2_Syntax_ANS[[#This Row],[Member Dues Year 1]]</f>
        <v>1.6666666666666667</v>
      </c>
      <c r="G20" s="27" t="str">
        <f>IFERROR(IF(Tbl_A2_Syntax_ANS[[#This Row],[% Change (Y2 - Y1) / Y1]]="","",IF(AND(_xlfn.ISFORMULA(Tbl_A2_Syntax_ANS[[#This Row],[% Change (Y2 - Y1) / Y1]]),EXACT(Tbl_A2_Syntax_ANS[[#This Row],[% Change (Y2 - Y1) / Y1]],Tbl_A2_Syntax_ANS[[#This Row],[% Change (Y2 - Y1) / Y1 ANS]])),Rng_Lkp_AnswerStatus_Good,Rng_Lkp_AnswerStatus_Bad)),Rng_Lkp_AnswerStatus_Bad)</f>
        <v>Correct</v>
      </c>
      <c r="H20" s="45">
        <v>1.6666666666666667</v>
      </c>
      <c r="I20" s="43">
        <f>Tbl_A2_Syntax_ANS[[#This Row],[Member Dues Year 1]]^2</f>
        <v>90000</v>
      </c>
      <c r="J20" s="27" t="str">
        <f>IFERROR(IF(Tbl_A2_Syntax_ANS[[#This Row],[Member Dues Y1^2]]="","",IF(AND(_xlfn.ISFORMULA(Tbl_A2_Syntax_ANS[[#This Row],[Member Dues Y1^2]]),EXACT(Tbl_A2_Syntax_ANS[[#This Row],[Member Dues Y1^2]],Tbl_A2_Syntax_ANS[[#This Row],[Membership Dues Y1^2 ANS]])),Rng_Lkp_AnswerStatus_Good,Rng_Lkp_AnswerStatus_Bad)),Rng_Lkp_AnswerStatus_Bad)</f>
        <v>Correct</v>
      </c>
      <c r="K20" s="46">
        <v>90000</v>
      </c>
      <c r="L20" s="80" t="b">
        <f>Tbl_A2_Syntax_ANS[[#This Row],[Member Dues Year 1]]&lt;=Tbl_A2_Syntax_ANS[[#This Row],[Member Dues Year 2]]</f>
        <v>1</v>
      </c>
      <c r="M20" s="27" t="str">
        <f>IFERROR(IF(Tbl_A2_Syntax_ANS[[#This Row],[Is Y1 Less Than or Equal to Y2]]="","",IF(AND(_xlfn.ISFORMULA(Tbl_A2_Syntax_ANS[[#This Row],[Is Y1 Less Than or Equal to Y2]]),EXACT(Tbl_A2_Syntax_ANS[[#This Row],[Is Y1 Less Than or Equal to Y2]],Tbl_A2_Syntax_ANS[[#This Row],[Is Y1 Less Than or Equal to Y2 ANS]])),Rng_Lkp_AnswerStatus_Good,Rng_Lkp_AnswerStatus_Bad)),Rng_Lkp_AnswerStatus_Bad)</f>
        <v>Correct</v>
      </c>
      <c r="N20" s="25" t="b">
        <v>1</v>
      </c>
      <c r="O20" s="80" t="b">
        <f>Tbl_A2_Syntax_ANS[[#This Row],[Member Dues Year 1]]=Tbl_A2_Syntax_ANS[[#This Row],[Member Dues Year 2]]</f>
        <v>0</v>
      </c>
      <c r="P20" s="27" t="str">
        <f>IFERROR(IF(Tbl_A2_Syntax_ANS[[#This Row],[Is Y1 Equal to Y2]]="","",IF(AND(_xlfn.ISFORMULA(Tbl_A2_Syntax_ANS[[#This Row],[Is Y1 Equal to Y2]]),EXACT(Tbl_A2_Syntax_ANS[[#This Row],[Is Y1 Equal to Y2]],Tbl_A2_Syntax_ANS[[#This Row],[Is Y1 Equal to Y2 ANS]])),Rng_Lkp_AnswerStatus_Good,Rng_Lkp_AnswerStatus_Bad)),Rng_Lkp_AnswerStatus_Bad)</f>
        <v>Correct</v>
      </c>
      <c r="Q20" s="81" t="b">
        <v>0</v>
      </c>
      <c r="R20" s="80" t="b">
        <f>Tbl_A2_Syntax_ANS[[#This Row],[Member Dues Year 1]]&lt;&gt;Tbl_A2_Syntax_ANS[[#This Row],[Member Dues Year 2]]</f>
        <v>1</v>
      </c>
      <c r="S20" s="48" t="str">
        <f>IFERROR(IF(Tbl_A2_Syntax_ANS[[#This Row],[Is Y1 Not Equal to Y2]]="","",IF(AND(_xlfn.ISFORMULA(Tbl_A2_Syntax_ANS[[#This Row],[Is Y1 Not Equal to Y2]]),EXACT(Tbl_A2_Syntax_ANS[[#This Row],[Is Y1 Not Equal to Y2]],Tbl_A2_Syntax_ANS[[#This Row],[Is Y1 Not Equal to Y2 ANS]])),Rng_Lkp_AnswerStatus_Good,Rng_Lkp_AnswerStatus_Bad)),Rng_Lkp_AnswerStatus_Bad)</f>
        <v>Correct</v>
      </c>
      <c r="T20" s="81" t="b">
        <v>1</v>
      </c>
      <c r="U20" s="83" t="str">
        <f>Tbl_A2_Syntax_ANS[[#This Row],[Account ID]] &amp; ": " &amp; Tbl_A2_Syntax_ANS[[#This Row],[Full Name]]</f>
        <v>2458: Angella Cetta</v>
      </c>
      <c r="V20" s="48" t="str">
        <f>IFERROR(IF(Tbl_A2_Syntax_ANS[[#This Row],[Account ID: Full Name]]="","",IF(AND(_xlfn.ISFORMULA(Tbl_A2_Syntax_ANS[[#This Row],[Account ID: Full Name]]),EXACT(Tbl_A2_Syntax_ANS[[#This Row],[Account ID: Full Name]],Tbl_A2_Syntax_ANS[[#This Row],[Account ID: Full Name ANS]])),Rng_Lkp_AnswerStatus_Good,Rng_Lkp_AnswerStatus_Bad)),Rng_Lkp_AnswerStatus_Bad)</f>
        <v>Correct</v>
      </c>
      <c r="W20" s="85" t="s">
        <v>116</v>
      </c>
    </row>
    <row r="21" spans="2:23" x14ac:dyDescent="0.25">
      <c r="B21" s="14">
        <v>1495</v>
      </c>
      <c r="C21" s="15" t="s">
        <v>146</v>
      </c>
      <c r="D21" s="87">
        <v>180</v>
      </c>
      <c r="E21" s="87">
        <v>2000</v>
      </c>
      <c r="F21" s="78">
        <f>(Tbl_A2_Syntax_ANS[[#This Row],[Member Dues Year 2]]-Tbl_A2_Syntax_ANS[[#This Row],[Member Dues Year 1]]) / Tbl_A2_Syntax_ANS[[#This Row],[Member Dues Year 1]]</f>
        <v>10.111111111111111</v>
      </c>
      <c r="G21" s="27" t="str">
        <f>IFERROR(IF(Tbl_A2_Syntax_ANS[[#This Row],[% Change (Y2 - Y1) / Y1]]="","",IF(AND(_xlfn.ISFORMULA(Tbl_A2_Syntax_ANS[[#This Row],[% Change (Y2 - Y1) / Y1]]),EXACT(Tbl_A2_Syntax_ANS[[#This Row],[% Change (Y2 - Y1) / Y1]],Tbl_A2_Syntax_ANS[[#This Row],[% Change (Y2 - Y1) / Y1 ANS]])),Rng_Lkp_AnswerStatus_Good,Rng_Lkp_AnswerStatus_Bad)),Rng_Lkp_AnswerStatus_Bad)</f>
        <v>Correct</v>
      </c>
      <c r="H21" s="45">
        <v>10.111111111111111</v>
      </c>
      <c r="I21" s="43">
        <f>Tbl_A2_Syntax_ANS[[#This Row],[Member Dues Year 1]]^2</f>
        <v>32400</v>
      </c>
      <c r="J21" s="27" t="str">
        <f>IFERROR(IF(Tbl_A2_Syntax_ANS[[#This Row],[Member Dues Y1^2]]="","",IF(AND(_xlfn.ISFORMULA(Tbl_A2_Syntax_ANS[[#This Row],[Member Dues Y1^2]]),EXACT(Tbl_A2_Syntax_ANS[[#This Row],[Member Dues Y1^2]],Tbl_A2_Syntax_ANS[[#This Row],[Membership Dues Y1^2 ANS]])),Rng_Lkp_AnswerStatus_Good,Rng_Lkp_AnswerStatus_Bad)),Rng_Lkp_AnswerStatus_Bad)</f>
        <v>Correct</v>
      </c>
      <c r="K21" s="46">
        <v>32400</v>
      </c>
      <c r="L21" s="80" t="b">
        <f>Tbl_A2_Syntax_ANS[[#This Row],[Member Dues Year 1]]&lt;=Tbl_A2_Syntax_ANS[[#This Row],[Member Dues Year 2]]</f>
        <v>1</v>
      </c>
      <c r="M21" s="27" t="str">
        <f>IFERROR(IF(Tbl_A2_Syntax_ANS[[#This Row],[Is Y1 Less Than or Equal to Y2]]="","",IF(AND(_xlfn.ISFORMULA(Tbl_A2_Syntax_ANS[[#This Row],[Is Y1 Less Than or Equal to Y2]]),EXACT(Tbl_A2_Syntax_ANS[[#This Row],[Is Y1 Less Than or Equal to Y2]],Tbl_A2_Syntax_ANS[[#This Row],[Is Y1 Less Than or Equal to Y2 ANS]])),Rng_Lkp_AnswerStatus_Good,Rng_Lkp_AnswerStatus_Bad)),Rng_Lkp_AnswerStatus_Bad)</f>
        <v>Correct</v>
      </c>
      <c r="N21" s="25" t="b">
        <v>1</v>
      </c>
      <c r="O21" s="80" t="b">
        <f>Tbl_A2_Syntax_ANS[[#This Row],[Member Dues Year 1]]=Tbl_A2_Syntax_ANS[[#This Row],[Member Dues Year 2]]</f>
        <v>0</v>
      </c>
      <c r="P21" s="27" t="str">
        <f>IFERROR(IF(Tbl_A2_Syntax_ANS[[#This Row],[Is Y1 Equal to Y2]]="","",IF(AND(_xlfn.ISFORMULA(Tbl_A2_Syntax_ANS[[#This Row],[Is Y1 Equal to Y2]]),EXACT(Tbl_A2_Syntax_ANS[[#This Row],[Is Y1 Equal to Y2]],Tbl_A2_Syntax_ANS[[#This Row],[Is Y1 Equal to Y2 ANS]])),Rng_Lkp_AnswerStatus_Good,Rng_Lkp_AnswerStatus_Bad)),Rng_Lkp_AnswerStatus_Bad)</f>
        <v>Correct</v>
      </c>
      <c r="Q21" s="81" t="b">
        <v>0</v>
      </c>
      <c r="R21" s="80" t="b">
        <f>Tbl_A2_Syntax_ANS[[#This Row],[Member Dues Year 1]]&lt;&gt;Tbl_A2_Syntax_ANS[[#This Row],[Member Dues Year 2]]</f>
        <v>1</v>
      </c>
      <c r="S21" s="48" t="str">
        <f>IFERROR(IF(Tbl_A2_Syntax_ANS[[#This Row],[Is Y1 Not Equal to Y2]]="","",IF(AND(_xlfn.ISFORMULA(Tbl_A2_Syntax_ANS[[#This Row],[Is Y1 Not Equal to Y2]]),EXACT(Tbl_A2_Syntax_ANS[[#This Row],[Is Y1 Not Equal to Y2]],Tbl_A2_Syntax_ANS[[#This Row],[Is Y1 Not Equal to Y2 ANS]])),Rng_Lkp_AnswerStatus_Good,Rng_Lkp_AnswerStatus_Bad)),Rng_Lkp_AnswerStatus_Bad)</f>
        <v>Correct</v>
      </c>
      <c r="T21" s="81" t="b">
        <v>1</v>
      </c>
      <c r="U21" s="83" t="str">
        <f>Tbl_A2_Syntax_ANS[[#This Row],[Account ID]] &amp; ": " &amp; Tbl_A2_Syntax_ANS[[#This Row],[Full Name]]</f>
        <v>1495: Cyndy Gold</v>
      </c>
      <c r="V21" s="48" t="str">
        <f>IFERROR(IF(Tbl_A2_Syntax_ANS[[#This Row],[Account ID: Full Name]]="","",IF(AND(_xlfn.ISFORMULA(Tbl_A2_Syntax_ANS[[#This Row],[Account ID: Full Name]]),EXACT(Tbl_A2_Syntax_ANS[[#This Row],[Account ID: Full Name]],Tbl_A2_Syntax_ANS[[#This Row],[Account ID: Full Name ANS]])),Rng_Lkp_AnswerStatus_Good,Rng_Lkp_AnswerStatus_Bad)),Rng_Lkp_AnswerStatus_Bad)</f>
        <v>Correct</v>
      </c>
      <c r="W21" s="85" t="s">
        <v>150</v>
      </c>
    </row>
    <row r="22" spans="2:23" x14ac:dyDescent="0.25">
      <c r="B22" s="14">
        <v>1131</v>
      </c>
      <c r="C22" s="15" t="s">
        <v>19</v>
      </c>
      <c r="D22" s="87">
        <v>200</v>
      </c>
      <c r="E22" s="87">
        <v>200</v>
      </c>
      <c r="F22" s="78">
        <f>(Tbl_A2_Syntax_ANS[[#This Row],[Member Dues Year 2]]-Tbl_A2_Syntax_ANS[[#This Row],[Member Dues Year 1]]) / Tbl_A2_Syntax_ANS[[#This Row],[Member Dues Year 1]]</f>
        <v>0</v>
      </c>
      <c r="G22" s="27" t="str">
        <f>IFERROR(IF(Tbl_A2_Syntax_ANS[[#This Row],[% Change (Y2 - Y1) / Y1]]="","",IF(AND(_xlfn.ISFORMULA(Tbl_A2_Syntax_ANS[[#This Row],[% Change (Y2 - Y1) / Y1]]),EXACT(Tbl_A2_Syntax_ANS[[#This Row],[% Change (Y2 - Y1) / Y1]],Tbl_A2_Syntax_ANS[[#This Row],[% Change (Y2 - Y1) / Y1 ANS]])),Rng_Lkp_AnswerStatus_Good,Rng_Lkp_AnswerStatus_Bad)),Rng_Lkp_AnswerStatus_Bad)</f>
        <v>Correct</v>
      </c>
      <c r="H22" s="45">
        <v>0</v>
      </c>
      <c r="I22" s="43">
        <f>Tbl_A2_Syntax_ANS[[#This Row],[Member Dues Year 1]]^2</f>
        <v>40000</v>
      </c>
      <c r="J22" s="27" t="str">
        <f>IFERROR(IF(Tbl_A2_Syntax_ANS[[#This Row],[Member Dues Y1^2]]="","",IF(AND(_xlfn.ISFORMULA(Tbl_A2_Syntax_ANS[[#This Row],[Member Dues Y1^2]]),EXACT(Tbl_A2_Syntax_ANS[[#This Row],[Member Dues Y1^2]],Tbl_A2_Syntax_ANS[[#This Row],[Membership Dues Y1^2 ANS]])),Rng_Lkp_AnswerStatus_Good,Rng_Lkp_AnswerStatus_Bad)),Rng_Lkp_AnswerStatus_Bad)</f>
        <v>Correct</v>
      </c>
      <c r="K22" s="46">
        <v>40000</v>
      </c>
      <c r="L22" s="80" t="b">
        <f>Tbl_A2_Syntax_ANS[[#This Row],[Member Dues Year 1]]&lt;=Tbl_A2_Syntax_ANS[[#This Row],[Member Dues Year 2]]</f>
        <v>1</v>
      </c>
      <c r="M22" s="27" t="str">
        <f>IFERROR(IF(Tbl_A2_Syntax_ANS[[#This Row],[Is Y1 Less Than or Equal to Y2]]="","",IF(AND(_xlfn.ISFORMULA(Tbl_A2_Syntax_ANS[[#This Row],[Is Y1 Less Than or Equal to Y2]]),EXACT(Tbl_A2_Syntax_ANS[[#This Row],[Is Y1 Less Than or Equal to Y2]],Tbl_A2_Syntax_ANS[[#This Row],[Is Y1 Less Than or Equal to Y2 ANS]])),Rng_Lkp_AnswerStatus_Good,Rng_Lkp_AnswerStatus_Bad)),Rng_Lkp_AnswerStatus_Bad)</f>
        <v>Correct</v>
      </c>
      <c r="N22" s="25" t="b">
        <v>1</v>
      </c>
      <c r="O22" s="80" t="b">
        <f>Tbl_A2_Syntax_ANS[[#This Row],[Member Dues Year 1]]=Tbl_A2_Syntax_ANS[[#This Row],[Member Dues Year 2]]</f>
        <v>1</v>
      </c>
      <c r="P22" s="27" t="str">
        <f>IFERROR(IF(Tbl_A2_Syntax_ANS[[#This Row],[Is Y1 Equal to Y2]]="","",IF(AND(_xlfn.ISFORMULA(Tbl_A2_Syntax_ANS[[#This Row],[Is Y1 Equal to Y2]]),EXACT(Tbl_A2_Syntax_ANS[[#This Row],[Is Y1 Equal to Y2]],Tbl_A2_Syntax_ANS[[#This Row],[Is Y1 Equal to Y2 ANS]])),Rng_Lkp_AnswerStatus_Good,Rng_Lkp_AnswerStatus_Bad)),Rng_Lkp_AnswerStatus_Bad)</f>
        <v>Correct</v>
      </c>
      <c r="Q22" s="81" t="b">
        <v>1</v>
      </c>
      <c r="R22" s="80" t="b">
        <f>Tbl_A2_Syntax_ANS[[#This Row],[Member Dues Year 1]]&lt;&gt;Tbl_A2_Syntax_ANS[[#This Row],[Member Dues Year 2]]</f>
        <v>0</v>
      </c>
      <c r="S22" s="48" t="str">
        <f>IFERROR(IF(Tbl_A2_Syntax_ANS[[#This Row],[Is Y1 Not Equal to Y2]]="","",IF(AND(_xlfn.ISFORMULA(Tbl_A2_Syntax_ANS[[#This Row],[Is Y1 Not Equal to Y2]]),EXACT(Tbl_A2_Syntax_ANS[[#This Row],[Is Y1 Not Equal to Y2]],Tbl_A2_Syntax_ANS[[#This Row],[Is Y1 Not Equal to Y2 ANS]])),Rng_Lkp_AnswerStatus_Good,Rng_Lkp_AnswerStatus_Bad)),Rng_Lkp_AnswerStatus_Bad)</f>
        <v>Correct</v>
      </c>
      <c r="T22" s="81" t="b">
        <v>0</v>
      </c>
      <c r="U22" s="83" t="str">
        <f>Tbl_A2_Syntax_ANS[[#This Row],[Account ID]] &amp; ": " &amp; Tbl_A2_Syntax_ANS[[#This Row],[Full Name]]</f>
        <v>1131: Rosio Cork</v>
      </c>
      <c r="V22" s="48" t="str">
        <f>IFERROR(IF(Tbl_A2_Syntax_ANS[[#This Row],[Account ID: Full Name]]="","",IF(AND(_xlfn.ISFORMULA(Tbl_A2_Syntax_ANS[[#This Row],[Account ID: Full Name]]),EXACT(Tbl_A2_Syntax_ANS[[#This Row],[Account ID: Full Name]],Tbl_A2_Syntax_ANS[[#This Row],[Account ID: Full Name ANS]])),Rng_Lkp_AnswerStatus_Good,Rng_Lkp_AnswerStatus_Bad)),Rng_Lkp_AnswerStatus_Bad)</f>
        <v>Correct</v>
      </c>
      <c r="W22" s="85" t="s">
        <v>117</v>
      </c>
    </row>
    <row r="23" spans="2:23" x14ac:dyDescent="0.25">
      <c r="B23" s="14">
        <v>2314</v>
      </c>
      <c r="C23" s="15" t="s">
        <v>147</v>
      </c>
      <c r="D23" s="87">
        <v>180</v>
      </c>
      <c r="E23" s="87">
        <v>320</v>
      </c>
      <c r="F23" s="78">
        <f>(Tbl_A2_Syntax_ANS[[#This Row],[Member Dues Year 2]]-Tbl_A2_Syntax_ANS[[#This Row],[Member Dues Year 1]]) / Tbl_A2_Syntax_ANS[[#This Row],[Member Dues Year 1]]</f>
        <v>0.77777777777777779</v>
      </c>
      <c r="G23" s="27" t="str">
        <f>IFERROR(IF(Tbl_A2_Syntax_ANS[[#This Row],[% Change (Y2 - Y1) / Y1]]="","",IF(AND(_xlfn.ISFORMULA(Tbl_A2_Syntax_ANS[[#This Row],[% Change (Y2 - Y1) / Y1]]),EXACT(Tbl_A2_Syntax_ANS[[#This Row],[% Change (Y2 - Y1) / Y1]],Tbl_A2_Syntax_ANS[[#This Row],[% Change (Y2 - Y1) / Y1 ANS]])),Rng_Lkp_AnswerStatus_Good,Rng_Lkp_AnswerStatus_Bad)),Rng_Lkp_AnswerStatus_Bad)</f>
        <v>Correct</v>
      </c>
      <c r="H23" s="45">
        <v>0.77777777777777779</v>
      </c>
      <c r="I23" s="43">
        <f>Tbl_A2_Syntax_ANS[[#This Row],[Member Dues Year 1]]^2</f>
        <v>32400</v>
      </c>
      <c r="J23" s="27" t="str">
        <f>IFERROR(IF(Tbl_A2_Syntax_ANS[[#This Row],[Member Dues Y1^2]]="","",IF(AND(_xlfn.ISFORMULA(Tbl_A2_Syntax_ANS[[#This Row],[Member Dues Y1^2]]),EXACT(Tbl_A2_Syntax_ANS[[#This Row],[Member Dues Y1^2]],Tbl_A2_Syntax_ANS[[#This Row],[Membership Dues Y1^2 ANS]])),Rng_Lkp_AnswerStatus_Good,Rng_Lkp_AnswerStatus_Bad)),Rng_Lkp_AnswerStatus_Bad)</f>
        <v>Correct</v>
      </c>
      <c r="K23" s="46">
        <v>32400</v>
      </c>
      <c r="L23" s="80" t="b">
        <f>Tbl_A2_Syntax_ANS[[#This Row],[Member Dues Year 1]]&lt;=Tbl_A2_Syntax_ANS[[#This Row],[Member Dues Year 2]]</f>
        <v>1</v>
      </c>
      <c r="M23" s="27" t="str">
        <f>IFERROR(IF(Tbl_A2_Syntax_ANS[[#This Row],[Is Y1 Less Than or Equal to Y2]]="","",IF(AND(_xlfn.ISFORMULA(Tbl_A2_Syntax_ANS[[#This Row],[Is Y1 Less Than or Equal to Y2]]),EXACT(Tbl_A2_Syntax_ANS[[#This Row],[Is Y1 Less Than or Equal to Y2]],Tbl_A2_Syntax_ANS[[#This Row],[Is Y1 Less Than or Equal to Y2 ANS]])),Rng_Lkp_AnswerStatus_Good,Rng_Lkp_AnswerStatus_Bad)),Rng_Lkp_AnswerStatus_Bad)</f>
        <v>Correct</v>
      </c>
      <c r="N23" s="25" t="b">
        <v>1</v>
      </c>
      <c r="O23" s="80" t="b">
        <f>Tbl_A2_Syntax_ANS[[#This Row],[Member Dues Year 1]]=Tbl_A2_Syntax_ANS[[#This Row],[Member Dues Year 2]]</f>
        <v>0</v>
      </c>
      <c r="P23" s="27" t="str">
        <f>IFERROR(IF(Tbl_A2_Syntax_ANS[[#This Row],[Is Y1 Equal to Y2]]="","",IF(AND(_xlfn.ISFORMULA(Tbl_A2_Syntax_ANS[[#This Row],[Is Y1 Equal to Y2]]),EXACT(Tbl_A2_Syntax_ANS[[#This Row],[Is Y1 Equal to Y2]],Tbl_A2_Syntax_ANS[[#This Row],[Is Y1 Equal to Y2 ANS]])),Rng_Lkp_AnswerStatus_Good,Rng_Lkp_AnswerStatus_Bad)),Rng_Lkp_AnswerStatus_Bad)</f>
        <v>Correct</v>
      </c>
      <c r="Q23" s="81" t="b">
        <v>0</v>
      </c>
      <c r="R23" s="80" t="b">
        <f>Tbl_A2_Syntax_ANS[[#This Row],[Member Dues Year 1]]&lt;&gt;Tbl_A2_Syntax_ANS[[#This Row],[Member Dues Year 2]]</f>
        <v>1</v>
      </c>
      <c r="S23" s="48" t="str">
        <f>IFERROR(IF(Tbl_A2_Syntax_ANS[[#This Row],[Is Y1 Not Equal to Y2]]="","",IF(AND(_xlfn.ISFORMULA(Tbl_A2_Syntax_ANS[[#This Row],[Is Y1 Not Equal to Y2]]),EXACT(Tbl_A2_Syntax_ANS[[#This Row],[Is Y1 Not Equal to Y2]],Tbl_A2_Syntax_ANS[[#This Row],[Is Y1 Not Equal to Y2 ANS]])),Rng_Lkp_AnswerStatus_Good,Rng_Lkp_AnswerStatus_Bad)),Rng_Lkp_AnswerStatus_Bad)</f>
        <v>Correct</v>
      </c>
      <c r="T23" s="81" t="b">
        <v>1</v>
      </c>
      <c r="U23" s="83" t="str">
        <f>Tbl_A2_Syntax_ANS[[#This Row],[Account ID]] &amp; ": " &amp; Tbl_A2_Syntax_ANS[[#This Row],[Full Name]]</f>
        <v>2314: Celeste Koran</v>
      </c>
      <c r="V23" s="48" t="str">
        <f>IFERROR(IF(Tbl_A2_Syntax_ANS[[#This Row],[Account ID: Full Name]]="","",IF(AND(_xlfn.ISFORMULA(Tbl_A2_Syntax_ANS[[#This Row],[Account ID: Full Name]]),EXACT(Tbl_A2_Syntax_ANS[[#This Row],[Account ID: Full Name]],Tbl_A2_Syntax_ANS[[#This Row],[Account ID: Full Name ANS]])),Rng_Lkp_AnswerStatus_Good,Rng_Lkp_AnswerStatus_Bad)),Rng_Lkp_AnswerStatus_Bad)</f>
        <v>Correct</v>
      </c>
      <c r="W23" s="85" t="s">
        <v>229</v>
      </c>
    </row>
    <row r="24" spans="2:23" x14ac:dyDescent="0.25">
      <c r="B24" s="14">
        <v>2304</v>
      </c>
      <c r="C24" s="15" t="s">
        <v>20</v>
      </c>
      <c r="D24" s="87">
        <v>250</v>
      </c>
      <c r="E24" s="87">
        <v>500</v>
      </c>
      <c r="F24" s="78">
        <f>(Tbl_A2_Syntax_ANS[[#This Row],[Member Dues Year 2]]-Tbl_A2_Syntax_ANS[[#This Row],[Member Dues Year 1]]) / Tbl_A2_Syntax_ANS[[#This Row],[Member Dues Year 1]]</f>
        <v>1</v>
      </c>
      <c r="G24" s="27" t="str">
        <f>IFERROR(IF(Tbl_A2_Syntax_ANS[[#This Row],[% Change (Y2 - Y1) / Y1]]="","",IF(AND(_xlfn.ISFORMULA(Tbl_A2_Syntax_ANS[[#This Row],[% Change (Y2 - Y1) / Y1]]),EXACT(Tbl_A2_Syntax_ANS[[#This Row],[% Change (Y2 - Y1) / Y1]],Tbl_A2_Syntax_ANS[[#This Row],[% Change (Y2 - Y1) / Y1 ANS]])),Rng_Lkp_AnswerStatus_Good,Rng_Lkp_AnswerStatus_Bad)),Rng_Lkp_AnswerStatus_Bad)</f>
        <v>Correct</v>
      </c>
      <c r="H24" s="45">
        <v>1</v>
      </c>
      <c r="I24" s="43">
        <f>Tbl_A2_Syntax_ANS[[#This Row],[Member Dues Year 1]]^2</f>
        <v>62500</v>
      </c>
      <c r="J24" s="27" t="str">
        <f>IFERROR(IF(Tbl_A2_Syntax_ANS[[#This Row],[Member Dues Y1^2]]="","",IF(AND(_xlfn.ISFORMULA(Tbl_A2_Syntax_ANS[[#This Row],[Member Dues Y1^2]]),EXACT(Tbl_A2_Syntax_ANS[[#This Row],[Member Dues Y1^2]],Tbl_A2_Syntax_ANS[[#This Row],[Membership Dues Y1^2 ANS]])),Rng_Lkp_AnswerStatus_Good,Rng_Lkp_AnswerStatus_Bad)),Rng_Lkp_AnswerStatus_Bad)</f>
        <v>Correct</v>
      </c>
      <c r="K24" s="46">
        <v>62500</v>
      </c>
      <c r="L24" s="80" t="b">
        <f>Tbl_A2_Syntax_ANS[[#This Row],[Member Dues Year 1]]&lt;=Tbl_A2_Syntax_ANS[[#This Row],[Member Dues Year 2]]</f>
        <v>1</v>
      </c>
      <c r="M24" s="27" t="str">
        <f>IFERROR(IF(Tbl_A2_Syntax_ANS[[#This Row],[Is Y1 Less Than or Equal to Y2]]="","",IF(AND(_xlfn.ISFORMULA(Tbl_A2_Syntax_ANS[[#This Row],[Is Y1 Less Than or Equal to Y2]]),EXACT(Tbl_A2_Syntax_ANS[[#This Row],[Is Y1 Less Than or Equal to Y2]],Tbl_A2_Syntax_ANS[[#This Row],[Is Y1 Less Than or Equal to Y2 ANS]])),Rng_Lkp_AnswerStatus_Good,Rng_Lkp_AnswerStatus_Bad)),Rng_Lkp_AnswerStatus_Bad)</f>
        <v>Correct</v>
      </c>
      <c r="N24" s="25" t="b">
        <v>1</v>
      </c>
      <c r="O24" s="80" t="b">
        <f>Tbl_A2_Syntax_ANS[[#This Row],[Member Dues Year 1]]=Tbl_A2_Syntax_ANS[[#This Row],[Member Dues Year 2]]</f>
        <v>0</v>
      </c>
      <c r="P24" s="27" t="str">
        <f>IFERROR(IF(Tbl_A2_Syntax_ANS[[#This Row],[Is Y1 Equal to Y2]]="","",IF(AND(_xlfn.ISFORMULA(Tbl_A2_Syntax_ANS[[#This Row],[Is Y1 Equal to Y2]]),EXACT(Tbl_A2_Syntax_ANS[[#This Row],[Is Y1 Equal to Y2]],Tbl_A2_Syntax_ANS[[#This Row],[Is Y1 Equal to Y2 ANS]])),Rng_Lkp_AnswerStatus_Good,Rng_Lkp_AnswerStatus_Bad)),Rng_Lkp_AnswerStatus_Bad)</f>
        <v>Correct</v>
      </c>
      <c r="Q24" s="81" t="b">
        <v>0</v>
      </c>
      <c r="R24" s="80" t="b">
        <f>Tbl_A2_Syntax_ANS[[#This Row],[Member Dues Year 1]]&lt;&gt;Tbl_A2_Syntax_ANS[[#This Row],[Member Dues Year 2]]</f>
        <v>1</v>
      </c>
      <c r="S24" s="48" t="str">
        <f>IFERROR(IF(Tbl_A2_Syntax_ANS[[#This Row],[Is Y1 Not Equal to Y2]]="","",IF(AND(_xlfn.ISFORMULA(Tbl_A2_Syntax_ANS[[#This Row],[Is Y1 Not Equal to Y2]]),EXACT(Tbl_A2_Syntax_ANS[[#This Row],[Is Y1 Not Equal to Y2]],Tbl_A2_Syntax_ANS[[#This Row],[Is Y1 Not Equal to Y2 ANS]])),Rng_Lkp_AnswerStatus_Good,Rng_Lkp_AnswerStatus_Bad)),Rng_Lkp_AnswerStatus_Bad)</f>
        <v>Correct</v>
      </c>
      <c r="T24" s="81" t="b">
        <v>1</v>
      </c>
      <c r="U24" s="83" t="str">
        <f>Tbl_A2_Syntax_ANS[[#This Row],[Account ID]] &amp; ": " &amp; Tbl_A2_Syntax_ANS[[#This Row],[Full Name]]</f>
        <v>2304: Twana Felger</v>
      </c>
      <c r="V24" s="48" t="str">
        <f>IFERROR(IF(Tbl_A2_Syntax_ANS[[#This Row],[Account ID: Full Name]]="","",IF(AND(_xlfn.ISFORMULA(Tbl_A2_Syntax_ANS[[#This Row],[Account ID: Full Name]]),EXACT(Tbl_A2_Syntax_ANS[[#This Row],[Account ID: Full Name]],Tbl_A2_Syntax_ANS[[#This Row],[Account ID: Full Name ANS]])),Rng_Lkp_AnswerStatus_Good,Rng_Lkp_AnswerStatus_Bad)),Rng_Lkp_AnswerStatus_Bad)</f>
        <v>Correct</v>
      </c>
      <c r="W24" s="85" t="s">
        <v>118</v>
      </c>
    </row>
    <row r="25" spans="2:23" x14ac:dyDescent="0.25">
      <c r="B25" s="14">
        <v>3694</v>
      </c>
      <c r="C25" s="15" t="s">
        <v>21</v>
      </c>
      <c r="D25" s="87">
        <v>250</v>
      </c>
      <c r="E25" s="87">
        <v>250</v>
      </c>
      <c r="F25" s="78">
        <f>(Tbl_A2_Syntax_ANS[[#This Row],[Member Dues Year 2]]-Tbl_A2_Syntax_ANS[[#This Row],[Member Dues Year 1]]) / Tbl_A2_Syntax_ANS[[#This Row],[Member Dues Year 1]]</f>
        <v>0</v>
      </c>
      <c r="G25" s="27" t="str">
        <f>IFERROR(IF(Tbl_A2_Syntax_ANS[[#This Row],[% Change (Y2 - Y1) / Y1]]="","",IF(AND(_xlfn.ISFORMULA(Tbl_A2_Syntax_ANS[[#This Row],[% Change (Y2 - Y1) / Y1]]),EXACT(Tbl_A2_Syntax_ANS[[#This Row],[% Change (Y2 - Y1) / Y1]],Tbl_A2_Syntax_ANS[[#This Row],[% Change (Y2 - Y1) / Y1 ANS]])),Rng_Lkp_AnswerStatus_Good,Rng_Lkp_AnswerStatus_Bad)),Rng_Lkp_AnswerStatus_Bad)</f>
        <v>Correct</v>
      </c>
      <c r="H25" s="45">
        <v>0</v>
      </c>
      <c r="I25" s="43">
        <f>Tbl_A2_Syntax_ANS[[#This Row],[Member Dues Year 1]]^2</f>
        <v>62500</v>
      </c>
      <c r="J25" s="27" t="str">
        <f>IFERROR(IF(Tbl_A2_Syntax_ANS[[#This Row],[Member Dues Y1^2]]="","",IF(AND(_xlfn.ISFORMULA(Tbl_A2_Syntax_ANS[[#This Row],[Member Dues Y1^2]]),EXACT(Tbl_A2_Syntax_ANS[[#This Row],[Member Dues Y1^2]],Tbl_A2_Syntax_ANS[[#This Row],[Membership Dues Y1^2 ANS]])),Rng_Lkp_AnswerStatus_Good,Rng_Lkp_AnswerStatus_Bad)),Rng_Lkp_AnswerStatus_Bad)</f>
        <v>Correct</v>
      </c>
      <c r="K25" s="46">
        <v>62500</v>
      </c>
      <c r="L25" s="80" t="b">
        <f>Tbl_A2_Syntax_ANS[[#This Row],[Member Dues Year 1]]&lt;=Tbl_A2_Syntax_ANS[[#This Row],[Member Dues Year 2]]</f>
        <v>1</v>
      </c>
      <c r="M25" s="27" t="str">
        <f>IFERROR(IF(Tbl_A2_Syntax_ANS[[#This Row],[Is Y1 Less Than or Equal to Y2]]="","",IF(AND(_xlfn.ISFORMULA(Tbl_A2_Syntax_ANS[[#This Row],[Is Y1 Less Than or Equal to Y2]]),EXACT(Tbl_A2_Syntax_ANS[[#This Row],[Is Y1 Less Than or Equal to Y2]],Tbl_A2_Syntax_ANS[[#This Row],[Is Y1 Less Than or Equal to Y2 ANS]])),Rng_Lkp_AnswerStatus_Good,Rng_Lkp_AnswerStatus_Bad)),Rng_Lkp_AnswerStatus_Bad)</f>
        <v>Correct</v>
      </c>
      <c r="N25" s="25" t="b">
        <v>1</v>
      </c>
      <c r="O25" s="80" t="b">
        <f>Tbl_A2_Syntax_ANS[[#This Row],[Member Dues Year 1]]=Tbl_A2_Syntax_ANS[[#This Row],[Member Dues Year 2]]</f>
        <v>1</v>
      </c>
      <c r="P25" s="27" t="str">
        <f>IFERROR(IF(Tbl_A2_Syntax_ANS[[#This Row],[Is Y1 Equal to Y2]]="","",IF(AND(_xlfn.ISFORMULA(Tbl_A2_Syntax_ANS[[#This Row],[Is Y1 Equal to Y2]]),EXACT(Tbl_A2_Syntax_ANS[[#This Row],[Is Y1 Equal to Y2]],Tbl_A2_Syntax_ANS[[#This Row],[Is Y1 Equal to Y2 ANS]])),Rng_Lkp_AnswerStatus_Good,Rng_Lkp_AnswerStatus_Bad)),Rng_Lkp_AnswerStatus_Bad)</f>
        <v>Correct</v>
      </c>
      <c r="Q25" s="81" t="b">
        <v>1</v>
      </c>
      <c r="R25" s="80" t="b">
        <f>Tbl_A2_Syntax_ANS[[#This Row],[Member Dues Year 1]]&lt;&gt;Tbl_A2_Syntax_ANS[[#This Row],[Member Dues Year 2]]</f>
        <v>0</v>
      </c>
      <c r="S25" s="48" t="str">
        <f>IFERROR(IF(Tbl_A2_Syntax_ANS[[#This Row],[Is Y1 Not Equal to Y2]]="","",IF(AND(_xlfn.ISFORMULA(Tbl_A2_Syntax_ANS[[#This Row],[Is Y1 Not Equal to Y2]]),EXACT(Tbl_A2_Syntax_ANS[[#This Row],[Is Y1 Not Equal to Y2]],Tbl_A2_Syntax_ANS[[#This Row],[Is Y1 Not Equal to Y2 ANS]])),Rng_Lkp_AnswerStatus_Good,Rng_Lkp_AnswerStatus_Bad)),Rng_Lkp_AnswerStatus_Bad)</f>
        <v>Correct</v>
      </c>
      <c r="T25" s="81" t="b">
        <v>0</v>
      </c>
      <c r="U25" s="83" t="str">
        <f>Tbl_A2_Syntax_ANS[[#This Row],[Account ID]] &amp; ": " &amp; Tbl_A2_Syntax_ANS[[#This Row],[Full Name]]</f>
        <v>3694: Estrella Samu</v>
      </c>
      <c r="V25" s="48" t="str">
        <f>IFERROR(IF(Tbl_A2_Syntax_ANS[[#This Row],[Account ID: Full Name]]="","",IF(AND(_xlfn.ISFORMULA(Tbl_A2_Syntax_ANS[[#This Row],[Account ID: Full Name]]),EXACT(Tbl_A2_Syntax_ANS[[#This Row],[Account ID: Full Name]],Tbl_A2_Syntax_ANS[[#This Row],[Account ID: Full Name ANS]])),Rng_Lkp_AnswerStatus_Good,Rng_Lkp_AnswerStatus_Bad)),Rng_Lkp_AnswerStatus_Bad)</f>
        <v>Correct</v>
      </c>
      <c r="W25" s="85" t="s">
        <v>119</v>
      </c>
    </row>
    <row r="26" spans="2:23" x14ac:dyDescent="0.25">
      <c r="B26" s="14">
        <v>4522</v>
      </c>
      <c r="C26" s="15" t="s">
        <v>22</v>
      </c>
      <c r="D26" s="87">
        <v>125</v>
      </c>
      <c r="E26" s="87">
        <v>75</v>
      </c>
      <c r="F26" s="78">
        <f>(Tbl_A2_Syntax_ANS[[#This Row],[Member Dues Year 2]]-Tbl_A2_Syntax_ANS[[#This Row],[Member Dues Year 1]]) / Tbl_A2_Syntax_ANS[[#This Row],[Member Dues Year 1]]</f>
        <v>-0.4</v>
      </c>
      <c r="G26" s="27" t="str">
        <f>IFERROR(IF(Tbl_A2_Syntax_ANS[[#This Row],[% Change (Y2 - Y1) / Y1]]="","",IF(AND(_xlfn.ISFORMULA(Tbl_A2_Syntax_ANS[[#This Row],[% Change (Y2 - Y1) / Y1]]),EXACT(Tbl_A2_Syntax_ANS[[#This Row],[% Change (Y2 - Y1) / Y1]],Tbl_A2_Syntax_ANS[[#This Row],[% Change (Y2 - Y1) / Y1 ANS]])),Rng_Lkp_AnswerStatus_Good,Rng_Lkp_AnswerStatus_Bad)),Rng_Lkp_AnswerStatus_Bad)</f>
        <v>Correct</v>
      </c>
      <c r="H26" s="45">
        <v>-0.4</v>
      </c>
      <c r="I26" s="43">
        <f>Tbl_A2_Syntax_ANS[[#This Row],[Member Dues Year 1]]^2</f>
        <v>15625</v>
      </c>
      <c r="J26" s="27" t="str">
        <f>IFERROR(IF(Tbl_A2_Syntax_ANS[[#This Row],[Member Dues Y1^2]]="","",IF(AND(_xlfn.ISFORMULA(Tbl_A2_Syntax_ANS[[#This Row],[Member Dues Y1^2]]),EXACT(Tbl_A2_Syntax_ANS[[#This Row],[Member Dues Y1^2]],Tbl_A2_Syntax_ANS[[#This Row],[Membership Dues Y1^2 ANS]])),Rng_Lkp_AnswerStatus_Good,Rng_Lkp_AnswerStatus_Bad)),Rng_Lkp_AnswerStatus_Bad)</f>
        <v>Correct</v>
      </c>
      <c r="K26" s="46">
        <v>15625</v>
      </c>
      <c r="L26" s="80" t="b">
        <f>Tbl_A2_Syntax_ANS[[#This Row],[Member Dues Year 1]]&lt;=Tbl_A2_Syntax_ANS[[#This Row],[Member Dues Year 2]]</f>
        <v>0</v>
      </c>
      <c r="M26" s="27" t="str">
        <f>IFERROR(IF(Tbl_A2_Syntax_ANS[[#This Row],[Is Y1 Less Than or Equal to Y2]]="","",IF(AND(_xlfn.ISFORMULA(Tbl_A2_Syntax_ANS[[#This Row],[Is Y1 Less Than or Equal to Y2]]),EXACT(Tbl_A2_Syntax_ANS[[#This Row],[Is Y1 Less Than or Equal to Y2]],Tbl_A2_Syntax_ANS[[#This Row],[Is Y1 Less Than or Equal to Y2 ANS]])),Rng_Lkp_AnswerStatus_Good,Rng_Lkp_AnswerStatus_Bad)),Rng_Lkp_AnswerStatus_Bad)</f>
        <v>Correct</v>
      </c>
      <c r="N26" s="25" t="b">
        <v>0</v>
      </c>
      <c r="O26" s="80" t="b">
        <f>Tbl_A2_Syntax_ANS[[#This Row],[Member Dues Year 1]]=Tbl_A2_Syntax_ANS[[#This Row],[Member Dues Year 2]]</f>
        <v>0</v>
      </c>
      <c r="P26" s="27" t="str">
        <f>IFERROR(IF(Tbl_A2_Syntax_ANS[[#This Row],[Is Y1 Equal to Y2]]="","",IF(AND(_xlfn.ISFORMULA(Tbl_A2_Syntax_ANS[[#This Row],[Is Y1 Equal to Y2]]),EXACT(Tbl_A2_Syntax_ANS[[#This Row],[Is Y1 Equal to Y2]],Tbl_A2_Syntax_ANS[[#This Row],[Is Y1 Equal to Y2 ANS]])),Rng_Lkp_AnswerStatus_Good,Rng_Lkp_AnswerStatus_Bad)),Rng_Lkp_AnswerStatus_Bad)</f>
        <v>Correct</v>
      </c>
      <c r="Q26" s="81" t="b">
        <v>0</v>
      </c>
      <c r="R26" s="80" t="b">
        <f>Tbl_A2_Syntax_ANS[[#This Row],[Member Dues Year 1]]&lt;&gt;Tbl_A2_Syntax_ANS[[#This Row],[Member Dues Year 2]]</f>
        <v>1</v>
      </c>
      <c r="S26" s="48" t="str">
        <f>IFERROR(IF(Tbl_A2_Syntax_ANS[[#This Row],[Is Y1 Not Equal to Y2]]="","",IF(AND(_xlfn.ISFORMULA(Tbl_A2_Syntax_ANS[[#This Row],[Is Y1 Not Equal to Y2]]),EXACT(Tbl_A2_Syntax_ANS[[#This Row],[Is Y1 Not Equal to Y2]],Tbl_A2_Syntax_ANS[[#This Row],[Is Y1 Not Equal to Y2 ANS]])),Rng_Lkp_AnswerStatus_Good,Rng_Lkp_AnswerStatus_Bad)),Rng_Lkp_AnswerStatus_Bad)</f>
        <v>Correct</v>
      </c>
      <c r="T26" s="81" t="b">
        <v>1</v>
      </c>
      <c r="U26" s="83" t="str">
        <f>Tbl_A2_Syntax_ANS[[#This Row],[Account ID]] &amp; ": " &amp; Tbl_A2_Syntax_ANS[[#This Row],[Full Name]]</f>
        <v>4522: Donte Kines</v>
      </c>
      <c r="V26" s="48" t="str">
        <f>IFERROR(IF(Tbl_A2_Syntax_ANS[[#This Row],[Account ID: Full Name]]="","",IF(AND(_xlfn.ISFORMULA(Tbl_A2_Syntax_ANS[[#This Row],[Account ID: Full Name]]),EXACT(Tbl_A2_Syntax_ANS[[#This Row],[Account ID: Full Name]],Tbl_A2_Syntax_ANS[[#This Row],[Account ID: Full Name ANS]])),Rng_Lkp_AnswerStatus_Good,Rng_Lkp_AnswerStatus_Bad)),Rng_Lkp_AnswerStatus_Bad)</f>
        <v>Correct</v>
      </c>
      <c r="W26" s="85" t="s">
        <v>120</v>
      </c>
    </row>
    <row r="27" spans="2:23" x14ac:dyDescent="0.25">
      <c r="B27" s="14">
        <v>1198</v>
      </c>
      <c r="C27" s="15" t="s">
        <v>148</v>
      </c>
      <c r="D27" s="87">
        <v>1575</v>
      </c>
      <c r="E27" s="87">
        <v>575</v>
      </c>
      <c r="F27" s="78">
        <f>(Tbl_A2_Syntax_ANS[[#This Row],[Member Dues Year 2]]-Tbl_A2_Syntax_ANS[[#This Row],[Member Dues Year 1]]) / Tbl_A2_Syntax_ANS[[#This Row],[Member Dues Year 1]]</f>
        <v>-0.63492063492063489</v>
      </c>
      <c r="G27" s="27" t="str">
        <f>IFERROR(IF(Tbl_A2_Syntax_ANS[[#This Row],[% Change (Y2 - Y1) / Y1]]="","",IF(AND(_xlfn.ISFORMULA(Tbl_A2_Syntax_ANS[[#This Row],[% Change (Y2 - Y1) / Y1]]),EXACT(Tbl_A2_Syntax_ANS[[#This Row],[% Change (Y2 - Y1) / Y1]],Tbl_A2_Syntax_ANS[[#This Row],[% Change (Y2 - Y1) / Y1 ANS]])),Rng_Lkp_AnswerStatus_Good,Rng_Lkp_AnswerStatus_Bad)),Rng_Lkp_AnswerStatus_Bad)</f>
        <v>Correct</v>
      </c>
      <c r="H27" s="45">
        <v>-0.63492063492063489</v>
      </c>
      <c r="I27" s="43">
        <f>Tbl_A2_Syntax_ANS[[#This Row],[Member Dues Year 1]]^2</f>
        <v>2480625</v>
      </c>
      <c r="J27" s="27" t="str">
        <f>IFERROR(IF(Tbl_A2_Syntax_ANS[[#This Row],[Member Dues Y1^2]]="","",IF(AND(_xlfn.ISFORMULA(Tbl_A2_Syntax_ANS[[#This Row],[Member Dues Y1^2]]),EXACT(Tbl_A2_Syntax_ANS[[#This Row],[Member Dues Y1^2]],Tbl_A2_Syntax_ANS[[#This Row],[Membership Dues Y1^2 ANS]])),Rng_Lkp_AnswerStatus_Good,Rng_Lkp_AnswerStatus_Bad)),Rng_Lkp_AnswerStatus_Bad)</f>
        <v>Correct</v>
      </c>
      <c r="K27" s="46">
        <v>2480625</v>
      </c>
      <c r="L27" s="80" t="b">
        <f>Tbl_A2_Syntax_ANS[[#This Row],[Member Dues Year 1]]&lt;=Tbl_A2_Syntax_ANS[[#This Row],[Member Dues Year 2]]</f>
        <v>0</v>
      </c>
      <c r="M27" s="27" t="str">
        <f>IFERROR(IF(Tbl_A2_Syntax_ANS[[#This Row],[Is Y1 Less Than or Equal to Y2]]="","",IF(AND(_xlfn.ISFORMULA(Tbl_A2_Syntax_ANS[[#This Row],[Is Y1 Less Than or Equal to Y2]]),EXACT(Tbl_A2_Syntax_ANS[[#This Row],[Is Y1 Less Than or Equal to Y2]],Tbl_A2_Syntax_ANS[[#This Row],[Is Y1 Less Than or Equal to Y2 ANS]])),Rng_Lkp_AnswerStatus_Good,Rng_Lkp_AnswerStatus_Bad)),Rng_Lkp_AnswerStatus_Bad)</f>
        <v>Correct</v>
      </c>
      <c r="N27" s="25" t="b">
        <v>0</v>
      </c>
      <c r="O27" s="80" t="b">
        <f>Tbl_A2_Syntax_ANS[[#This Row],[Member Dues Year 1]]=Tbl_A2_Syntax_ANS[[#This Row],[Member Dues Year 2]]</f>
        <v>0</v>
      </c>
      <c r="P27" s="27" t="str">
        <f>IFERROR(IF(Tbl_A2_Syntax_ANS[[#This Row],[Is Y1 Equal to Y2]]="","",IF(AND(_xlfn.ISFORMULA(Tbl_A2_Syntax_ANS[[#This Row],[Is Y1 Equal to Y2]]),EXACT(Tbl_A2_Syntax_ANS[[#This Row],[Is Y1 Equal to Y2]],Tbl_A2_Syntax_ANS[[#This Row],[Is Y1 Equal to Y2 ANS]])),Rng_Lkp_AnswerStatus_Good,Rng_Lkp_AnswerStatus_Bad)),Rng_Lkp_AnswerStatus_Bad)</f>
        <v>Correct</v>
      </c>
      <c r="Q27" s="81" t="b">
        <v>0</v>
      </c>
      <c r="R27" s="80" t="b">
        <f>Tbl_A2_Syntax_ANS[[#This Row],[Member Dues Year 1]]&lt;&gt;Tbl_A2_Syntax_ANS[[#This Row],[Member Dues Year 2]]</f>
        <v>1</v>
      </c>
      <c r="S27" s="48" t="str">
        <f>IFERROR(IF(Tbl_A2_Syntax_ANS[[#This Row],[Is Y1 Not Equal to Y2]]="","",IF(AND(_xlfn.ISFORMULA(Tbl_A2_Syntax_ANS[[#This Row],[Is Y1 Not Equal to Y2]]),EXACT(Tbl_A2_Syntax_ANS[[#This Row],[Is Y1 Not Equal to Y2]],Tbl_A2_Syntax_ANS[[#This Row],[Is Y1 Not Equal to Y2 ANS]])),Rng_Lkp_AnswerStatus_Good,Rng_Lkp_AnswerStatus_Bad)),Rng_Lkp_AnswerStatus_Bad)</f>
        <v>Correct</v>
      </c>
      <c r="T27" s="81" t="b">
        <v>1</v>
      </c>
      <c r="U27" s="83" t="str">
        <f>Tbl_A2_Syntax_ANS[[#This Row],[Account ID]] &amp; ": " &amp; Tbl_A2_Syntax_ANS[[#This Row],[Full Name]]</f>
        <v>1198: Tiff Steffen</v>
      </c>
      <c r="V27" s="48" t="str">
        <f>IFERROR(IF(Tbl_A2_Syntax_ANS[[#This Row],[Account ID: Full Name]]="","",IF(AND(_xlfn.ISFORMULA(Tbl_A2_Syntax_ANS[[#This Row],[Account ID: Full Name]]),EXACT(Tbl_A2_Syntax_ANS[[#This Row],[Account ID: Full Name]],Tbl_A2_Syntax_ANS[[#This Row],[Account ID: Full Name ANS]])),Rng_Lkp_AnswerStatus_Good,Rng_Lkp_AnswerStatus_Bad)),Rng_Lkp_AnswerStatus_Bad)</f>
        <v>Correct</v>
      </c>
      <c r="W27" s="85" t="s">
        <v>151</v>
      </c>
    </row>
  </sheetData>
  <conditionalFormatting sqref="B5:B6 G6 J6 M6 P6 S6 V6">
    <cfRule type="colorScale" priority="5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B8:W27">
    <cfRule type="cellIs" dxfId="231" priority="6" operator="equal">
      <formula>Rng_Lkp_AnswerStatus_Bad</formula>
    </cfRule>
    <cfRule type="cellIs" dxfId="230" priority="7" operator="equal">
      <formula>Rng_Lkp_AnswerStatus_Good</formula>
    </cfRule>
  </conditionalFormatting>
  <pageMargins left="0.7" right="0.7" top="0.75" bottom="0.75" header="0.3" footer="0.3"/>
  <pageSetup paperSize="121" orientation="portrait" horizontalDpi="300" verticalDpi="300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6467B-C783-439C-8A43-BD4431CC44F3}">
  <sheetPr>
    <tabColor theme="8"/>
  </sheetPr>
  <dimension ref="A1:K27"/>
  <sheetViews>
    <sheetView showGridLines="0"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ColWidth="9.140625" defaultRowHeight="15" outlineLevelRow="1" outlineLevelCol="1" x14ac:dyDescent="0.25"/>
  <cols>
    <col min="1" max="1" width="2.5703125" style="10" customWidth="1"/>
    <col min="2" max="2" width="8.140625" style="10" bestFit="1" customWidth="1"/>
    <col min="3" max="3" width="13.85546875" style="10" bestFit="1" customWidth="1"/>
    <col min="4" max="4" width="5.5703125" style="10" bestFit="1" customWidth="1"/>
    <col min="5" max="5" width="14.140625" style="10" bestFit="1" customWidth="1"/>
    <col min="6" max="6" width="8.140625" style="10" bestFit="1" customWidth="1"/>
    <col min="7" max="7" width="17.28515625" style="10" hidden="1" customWidth="1" outlineLevel="1"/>
    <col min="8" max="8" width="26.42578125" style="10" bestFit="1" customWidth="1" collapsed="1"/>
    <col min="9" max="9" width="8.140625" style="10" bestFit="1" customWidth="1"/>
    <col min="10" max="10" width="29.140625" style="10" hidden="1" customWidth="1" outlineLevel="1"/>
    <col min="11" max="11" width="9.140625" style="10" collapsed="1"/>
    <col min="12" max="16384" width="9.140625" style="10"/>
  </cols>
  <sheetData>
    <row r="1" spans="1:10" s="8" customFormat="1" ht="21" x14ac:dyDescent="0.35">
      <c r="A1" s="95" t="s">
        <v>123</v>
      </c>
      <c r="B1" s="4"/>
    </row>
    <row r="2" spans="1:10" s="8" customFormat="1" ht="18.75" x14ac:dyDescent="0.3">
      <c r="A2" s="96" t="s">
        <v>11</v>
      </c>
      <c r="B2" s="9"/>
    </row>
    <row r="3" spans="1:10" ht="6.95" customHeight="1" x14ac:dyDescent="0.25"/>
    <row r="4" spans="1:10" x14ac:dyDescent="0.25">
      <c r="D4" s="16" t="s">
        <v>137</v>
      </c>
      <c r="E4" s="30">
        <v>1</v>
      </c>
      <c r="F4" s="17"/>
      <c r="G4" s="17"/>
      <c r="H4" s="30">
        <v>2</v>
      </c>
      <c r="I4" s="17"/>
      <c r="J4" s="17"/>
    </row>
    <row r="5" spans="1:10" hidden="1" outlineLevel="1" x14ac:dyDescent="0.25">
      <c r="B5" s="38" t="str">
        <f>IFERROR(IF(SUMIFS(E5:J5,E4:J4,"&gt;=0")=0,"",SUMIFS(E5:J5,E4:J4,"&gt;=0")/SUMIFS(E5:J5,E6:J6,"ANSWER")),"")</f>
        <v/>
      </c>
      <c r="C5" s="35" t="s">
        <v>43</v>
      </c>
      <c r="D5" s="50"/>
      <c r="E5" s="36">
        <f>IFERROR(COUNTA(Tbl_B3_Placeholders_01[Is State "NY" ("blah true" or "blah false")]),"")</f>
        <v>0</v>
      </c>
      <c r="F5" s="37">
        <f>IFERROR(COUNTIF(Tbl_B3_Placeholders_01[Answer Status Q01],Rng_Lkp_AnswerStatus_Good),"")</f>
        <v>0</v>
      </c>
      <c r="G5" s="37">
        <f>IFERROR(COUNTA(Tbl_B3_Placeholders_01[Is State "NY" ("blah true" or "blah false") ANS]),"")</f>
        <v>20</v>
      </c>
      <c r="H5" s="36">
        <f>IFERROR(COUNTA(Tbl_B3_Placeholders_01[Is State "NY" (If true, show Account ID: Full Name. If false, show Account ID only)]),"")</f>
        <v>0</v>
      </c>
      <c r="I5" s="37">
        <f>IFERROR(COUNTIF(Tbl_B3_Placeholders_01[Answer Status Q02],Rng_Lkp_AnswerStatus_Good),"")</f>
        <v>0</v>
      </c>
      <c r="J5" s="37">
        <f>IFERROR(COUNTA(Tbl_B3_Placeholders_01[Is State "NY" (If true, show Account ID: Full Name. If false, show Account ID only) ANS]),"")</f>
        <v>20</v>
      </c>
    </row>
    <row r="6" spans="1:10" collapsed="1" x14ac:dyDescent="0.25">
      <c r="B6" s="38" t="str">
        <f>IFERROR(IF(SUMIFS(E5:J5,E4:J4,"&gt;=0")=0,"",SUMIFS(E5:J5,E6:J6,"&gt;=0", E6:J6,"&lt;=1")/SUMIFS(E5:J5,E4:J4,"&gt;0")),"")</f>
        <v/>
      </c>
      <c r="C6" s="35" t="s">
        <v>44</v>
      </c>
      <c r="D6" s="50"/>
      <c r="E6" s="30" t="s">
        <v>58</v>
      </c>
      <c r="F6" s="28" t="str">
        <f>IFERROR(F5/E5,"")</f>
        <v/>
      </c>
      <c r="G6" s="31" t="s">
        <v>26</v>
      </c>
      <c r="H6" s="30" t="s">
        <v>58</v>
      </c>
      <c r="I6" s="28" t="str">
        <f>IFERROR(I5/H5,"")</f>
        <v/>
      </c>
      <c r="J6" s="31" t="s">
        <v>26</v>
      </c>
    </row>
    <row r="7" spans="1:10" ht="45" x14ac:dyDescent="0.25">
      <c r="B7" s="20" t="s">
        <v>10</v>
      </c>
      <c r="C7" s="21" t="s">
        <v>12</v>
      </c>
      <c r="D7" s="21" t="s">
        <v>48</v>
      </c>
      <c r="E7" s="29" t="s">
        <v>131</v>
      </c>
      <c r="F7" s="26" t="s">
        <v>33</v>
      </c>
      <c r="G7" s="32" t="s">
        <v>134</v>
      </c>
      <c r="H7" s="29" t="s">
        <v>135</v>
      </c>
      <c r="I7" s="26" t="s">
        <v>34</v>
      </c>
      <c r="J7" s="32" t="s">
        <v>136</v>
      </c>
    </row>
    <row r="8" spans="1:10" x14ac:dyDescent="0.25">
      <c r="B8" s="11">
        <v>4405</v>
      </c>
      <c r="C8" s="12" t="s">
        <v>143</v>
      </c>
      <c r="D8" s="12" t="s">
        <v>49</v>
      </c>
      <c r="E8" s="88"/>
      <c r="F8" s="27" t="str">
        <f>IFERROR(IF(Tbl_B3_Placeholders_01[[#This Row],[Is State "NY" ("blah true" or "blah false")]]="","",IF(AND(_xlfn.ISFORMULA(Tbl_B3_Placeholders_01[[#This Row],[Is State "NY" ("blah true" or "blah false")]]),EXACT(Tbl_B3_Placeholders_01[[#This Row],[Is State "NY" ("blah true" or "blah false")]],Tbl_B3_Placeholders_01[[#This Row],[Is State "NY" ("blah true" or "blah false") ANS]])),Rng_Lkp_AnswerStatus_Good,Rng_Lkp_AnswerStatus_Bad)),Rng_Lkp_AnswerStatus_Bad)</f>
        <v/>
      </c>
      <c r="G8" s="41" t="s">
        <v>132</v>
      </c>
      <c r="H8" s="88"/>
      <c r="I8" s="27" t="str">
        <f>IFERROR(IF(Tbl_B3_Placeholders_01[[#This Row],[Is State "NY" (If true, show Account ID: Full Name. If false, show Account ID only)]]="","",IF(AND(_xlfn.ISFORMULA(Tbl_B3_Placeholders_01[[#This Row],[Is State "NY" (If true, show Account ID: Full Name. If false, show Account ID only)]]),EXACT(Tbl_B3_Placeholders_01[[#This Row],[Is State "NY" (If true, show Account ID: Full Name. If false, show Account ID only)]],Tbl_B3_Placeholders_01[[#This Row],[Is State "NY" (If true, show Account ID: Full Name. If false, show Account ID only) ANS]])),Rng_Lkp_AnswerStatus_Good,Rng_Lkp_AnswerStatus_Bad)),Rng_Lkp_AnswerStatus_Bad)</f>
        <v/>
      </c>
      <c r="J8" s="41" t="s">
        <v>149</v>
      </c>
    </row>
    <row r="9" spans="1:10" x14ac:dyDescent="0.25">
      <c r="B9" s="11">
        <v>1030</v>
      </c>
      <c r="C9" s="12" t="s">
        <v>13</v>
      </c>
      <c r="D9" s="12" t="s">
        <v>50</v>
      </c>
      <c r="E9" s="89"/>
      <c r="F9" s="27" t="str">
        <f>IFERROR(IF(Tbl_B3_Placeholders_01[[#This Row],[Is State "NY" ("blah true" or "blah false")]]="","",IF(AND(_xlfn.ISFORMULA(Tbl_B3_Placeholders_01[[#This Row],[Is State "NY" ("blah true" or "blah false")]]),EXACT(Tbl_B3_Placeholders_01[[#This Row],[Is State "NY" ("blah true" or "blah false")]],Tbl_B3_Placeholders_01[[#This Row],[Is State "NY" ("blah true" or "blah false") ANS]])),Rng_Lkp_AnswerStatus_Good,Rng_Lkp_AnswerStatus_Bad)),Rng_Lkp_AnswerStatus_Bad)</f>
        <v/>
      </c>
      <c r="G9" s="41" t="s">
        <v>133</v>
      </c>
      <c r="H9" s="89"/>
      <c r="I9" s="27" t="str">
        <f>IFERROR(IF(Tbl_B3_Placeholders_01[[#This Row],[Is State "NY" (If true, show Account ID: Full Name. If false, show Account ID only)]]="","",IF(AND(_xlfn.ISFORMULA(Tbl_B3_Placeholders_01[[#This Row],[Is State "NY" (If true, show Account ID: Full Name. If false, show Account ID only)]]),EXACT(Tbl_B3_Placeholders_01[[#This Row],[Is State "NY" (If true, show Account ID: Full Name. If false, show Account ID only)]],Tbl_B3_Placeholders_01[[#This Row],[Is State "NY" (If true, show Account ID: Full Name. If false, show Account ID only) ANS]])),Rng_Lkp_AnswerStatus_Good,Rng_Lkp_AnswerStatus_Bad)),Rng_Lkp_AnswerStatus_Bad)</f>
        <v/>
      </c>
      <c r="J9" s="41">
        <v>1030</v>
      </c>
    </row>
    <row r="10" spans="1:10" x14ac:dyDescent="0.25">
      <c r="B10" s="11">
        <v>1603</v>
      </c>
      <c r="C10" s="12" t="s">
        <v>142</v>
      </c>
      <c r="D10" s="12" t="s">
        <v>51</v>
      </c>
      <c r="E10" s="89"/>
      <c r="F10" s="27" t="str">
        <f>IFERROR(IF(Tbl_B3_Placeholders_01[[#This Row],[Is State "NY" ("blah true" or "blah false")]]="","",IF(AND(_xlfn.ISFORMULA(Tbl_B3_Placeholders_01[[#This Row],[Is State "NY" ("blah true" or "blah false")]]),EXACT(Tbl_B3_Placeholders_01[[#This Row],[Is State "NY" ("blah true" or "blah false")]],Tbl_B3_Placeholders_01[[#This Row],[Is State "NY" ("blah true" or "blah false") ANS]])),Rng_Lkp_AnswerStatus_Good,Rng_Lkp_AnswerStatus_Bad)),Rng_Lkp_AnswerStatus_Bad)</f>
        <v/>
      </c>
      <c r="G10" s="41" t="s">
        <v>133</v>
      </c>
      <c r="H10" s="89"/>
      <c r="I10" s="27" t="str">
        <f>IFERROR(IF(Tbl_B3_Placeholders_01[[#This Row],[Is State "NY" (If true, show Account ID: Full Name. If false, show Account ID only)]]="","",IF(AND(_xlfn.ISFORMULA(Tbl_B3_Placeholders_01[[#This Row],[Is State "NY" (If true, show Account ID: Full Name. If false, show Account ID only)]]),EXACT(Tbl_B3_Placeholders_01[[#This Row],[Is State "NY" (If true, show Account ID: Full Name. If false, show Account ID only)]],Tbl_B3_Placeholders_01[[#This Row],[Is State "NY" (If true, show Account ID: Full Name. If false, show Account ID only) ANS]])),Rng_Lkp_AnswerStatus_Good,Rng_Lkp_AnswerStatus_Bad)),Rng_Lkp_AnswerStatus_Bad)</f>
        <v/>
      </c>
      <c r="J10" s="41">
        <v>1603</v>
      </c>
    </row>
    <row r="11" spans="1:10" x14ac:dyDescent="0.25">
      <c r="B11" s="11">
        <v>4298</v>
      </c>
      <c r="C11" s="12" t="s">
        <v>14</v>
      </c>
      <c r="D11" s="12" t="s">
        <v>52</v>
      </c>
      <c r="E11" s="89"/>
      <c r="F11" s="27" t="str">
        <f>IFERROR(IF(Tbl_B3_Placeholders_01[[#This Row],[Is State "NY" ("blah true" or "blah false")]]="","",IF(AND(_xlfn.ISFORMULA(Tbl_B3_Placeholders_01[[#This Row],[Is State "NY" ("blah true" or "blah false")]]),EXACT(Tbl_B3_Placeholders_01[[#This Row],[Is State "NY" ("blah true" or "blah false")]],Tbl_B3_Placeholders_01[[#This Row],[Is State "NY" ("blah true" or "blah false") ANS]])),Rng_Lkp_AnswerStatus_Good,Rng_Lkp_AnswerStatus_Bad)),Rng_Lkp_AnswerStatus_Bad)</f>
        <v/>
      </c>
      <c r="G11" s="41" t="s">
        <v>133</v>
      </c>
      <c r="H11" s="89"/>
      <c r="I11" s="27" t="str">
        <f>IFERROR(IF(Tbl_B3_Placeholders_01[[#This Row],[Is State "NY" (If true, show Account ID: Full Name. If false, show Account ID only)]]="","",IF(AND(_xlfn.ISFORMULA(Tbl_B3_Placeholders_01[[#This Row],[Is State "NY" (If true, show Account ID: Full Name. If false, show Account ID only)]]),EXACT(Tbl_B3_Placeholders_01[[#This Row],[Is State "NY" (If true, show Account ID: Full Name. If false, show Account ID only)]],Tbl_B3_Placeholders_01[[#This Row],[Is State "NY" (If true, show Account ID: Full Name. If false, show Account ID only) ANS]])),Rng_Lkp_AnswerStatus_Good,Rng_Lkp_AnswerStatus_Bad)),Rng_Lkp_AnswerStatus_Bad)</f>
        <v/>
      </c>
      <c r="J11" s="41">
        <v>4298</v>
      </c>
    </row>
    <row r="12" spans="1:10" x14ac:dyDescent="0.25">
      <c r="B12" s="11">
        <v>2352</v>
      </c>
      <c r="C12" s="12" t="s">
        <v>139</v>
      </c>
      <c r="D12" s="12" t="s">
        <v>53</v>
      </c>
      <c r="E12" s="89"/>
      <c r="F12" s="27" t="str">
        <f>IFERROR(IF(Tbl_B3_Placeholders_01[[#This Row],[Is State "NY" ("blah true" or "blah false")]]="","",IF(AND(_xlfn.ISFORMULA(Tbl_B3_Placeholders_01[[#This Row],[Is State "NY" ("blah true" or "blah false")]]),EXACT(Tbl_B3_Placeholders_01[[#This Row],[Is State "NY" ("blah true" or "blah false")]],Tbl_B3_Placeholders_01[[#This Row],[Is State "NY" ("blah true" or "blah false") ANS]])),Rng_Lkp_AnswerStatus_Good,Rng_Lkp_AnswerStatus_Bad)),Rng_Lkp_AnswerStatus_Bad)</f>
        <v/>
      </c>
      <c r="G12" s="41" t="s">
        <v>133</v>
      </c>
      <c r="H12" s="89"/>
      <c r="I12" s="27" t="str">
        <f>IFERROR(IF(Tbl_B3_Placeholders_01[[#This Row],[Is State "NY" (If true, show Account ID: Full Name. If false, show Account ID only)]]="","",IF(AND(_xlfn.ISFORMULA(Tbl_B3_Placeholders_01[[#This Row],[Is State "NY" (If true, show Account ID: Full Name. If false, show Account ID only)]]),EXACT(Tbl_B3_Placeholders_01[[#This Row],[Is State "NY" (If true, show Account ID: Full Name. If false, show Account ID only)]],Tbl_B3_Placeholders_01[[#This Row],[Is State "NY" (If true, show Account ID: Full Name. If false, show Account ID only) ANS]])),Rng_Lkp_AnswerStatus_Good,Rng_Lkp_AnswerStatus_Bad)),Rng_Lkp_AnswerStatus_Bad)</f>
        <v/>
      </c>
      <c r="J12" s="41">
        <v>2352</v>
      </c>
    </row>
    <row r="13" spans="1:10" x14ac:dyDescent="0.25">
      <c r="B13" s="11">
        <v>1049</v>
      </c>
      <c r="C13" s="12" t="s">
        <v>140</v>
      </c>
      <c r="D13" s="12" t="s">
        <v>54</v>
      </c>
      <c r="E13" s="89"/>
      <c r="F13" s="27" t="str">
        <f>IFERROR(IF(Tbl_B3_Placeholders_01[[#This Row],[Is State "NY" ("blah true" or "blah false")]]="","",IF(AND(_xlfn.ISFORMULA(Tbl_B3_Placeholders_01[[#This Row],[Is State "NY" ("blah true" or "blah false")]]),EXACT(Tbl_B3_Placeholders_01[[#This Row],[Is State "NY" ("blah true" or "blah false")]],Tbl_B3_Placeholders_01[[#This Row],[Is State "NY" ("blah true" or "blah false") ANS]])),Rng_Lkp_AnswerStatus_Good,Rng_Lkp_AnswerStatus_Bad)),Rng_Lkp_AnswerStatus_Bad)</f>
        <v/>
      </c>
      <c r="G13" s="41" t="s">
        <v>133</v>
      </c>
      <c r="H13" s="89"/>
      <c r="I13" s="27" t="str">
        <f>IFERROR(IF(Tbl_B3_Placeholders_01[[#This Row],[Is State "NY" (If true, show Account ID: Full Name. If false, show Account ID only)]]="","",IF(AND(_xlfn.ISFORMULA(Tbl_B3_Placeholders_01[[#This Row],[Is State "NY" (If true, show Account ID: Full Name. If false, show Account ID only)]]),EXACT(Tbl_B3_Placeholders_01[[#This Row],[Is State "NY" (If true, show Account ID: Full Name. If false, show Account ID only)]],Tbl_B3_Placeholders_01[[#This Row],[Is State "NY" (If true, show Account ID: Full Name. If false, show Account ID only) ANS]])),Rng_Lkp_AnswerStatus_Good,Rng_Lkp_AnswerStatus_Bad)),Rng_Lkp_AnswerStatus_Bad)</f>
        <v/>
      </c>
      <c r="J13" s="41">
        <v>1049</v>
      </c>
    </row>
    <row r="14" spans="1:10" x14ac:dyDescent="0.25">
      <c r="B14" s="11">
        <v>2278</v>
      </c>
      <c r="C14" s="12" t="s">
        <v>141</v>
      </c>
      <c r="D14" s="12" t="s">
        <v>51</v>
      </c>
      <c r="E14" s="89"/>
      <c r="F14" s="27" t="str">
        <f>IFERROR(IF(Tbl_B3_Placeholders_01[[#This Row],[Is State "NY" ("blah true" or "blah false")]]="","",IF(AND(_xlfn.ISFORMULA(Tbl_B3_Placeholders_01[[#This Row],[Is State "NY" ("blah true" or "blah false")]]),EXACT(Tbl_B3_Placeholders_01[[#This Row],[Is State "NY" ("blah true" or "blah false")]],Tbl_B3_Placeholders_01[[#This Row],[Is State "NY" ("blah true" or "blah false") ANS]])),Rng_Lkp_AnswerStatus_Good,Rng_Lkp_AnswerStatus_Bad)),Rng_Lkp_AnswerStatus_Bad)</f>
        <v/>
      </c>
      <c r="G14" s="41" t="s">
        <v>133</v>
      </c>
      <c r="H14" s="89"/>
      <c r="I14" s="27" t="str">
        <f>IFERROR(IF(Tbl_B3_Placeholders_01[[#This Row],[Is State "NY" (If true, show Account ID: Full Name. If false, show Account ID only)]]="","",IF(AND(_xlfn.ISFORMULA(Tbl_B3_Placeholders_01[[#This Row],[Is State "NY" (If true, show Account ID: Full Name. If false, show Account ID only)]]),EXACT(Tbl_B3_Placeholders_01[[#This Row],[Is State "NY" (If true, show Account ID: Full Name. If false, show Account ID only)]],Tbl_B3_Placeholders_01[[#This Row],[Is State "NY" (If true, show Account ID: Full Name. If false, show Account ID only) ANS]])),Rng_Lkp_AnswerStatus_Good,Rng_Lkp_AnswerStatus_Bad)),Rng_Lkp_AnswerStatus_Bad)</f>
        <v/>
      </c>
      <c r="J14" s="41">
        <v>2278</v>
      </c>
    </row>
    <row r="15" spans="1:10" x14ac:dyDescent="0.25">
      <c r="B15" s="11">
        <v>4071</v>
      </c>
      <c r="C15" s="12" t="s">
        <v>15</v>
      </c>
      <c r="D15" s="12" t="s">
        <v>52</v>
      </c>
      <c r="E15" s="89"/>
      <c r="F15" s="27" t="str">
        <f>IFERROR(IF(Tbl_B3_Placeholders_01[[#This Row],[Is State "NY" ("blah true" or "blah false")]]="","",IF(AND(_xlfn.ISFORMULA(Tbl_B3_Placeholders_01[[#This Row],[Is State "NY" ("blah true" or "blah false")]]),EXACT(Tbl_B3_Placeholders_01[[#This Row],[Is State "NY" ("blah true" or "blah false")]],Tbl_B3_Placeholders_01[[#This Row],[Is State "NY" ("blah true" or "blah false") ANS]])),Rng_Lkp_AnswerStatus_Good,Rng_Lkp_AnswerStatus_Bad)),Rng_Lkp_AnswerStatus_Bad)</f>
        <v/>
      </c>
      <c r="G15" s="41" t="s">
        <v>133</v>
      </c>
      <c r="H15" s="89"/>
      <c r="I15" s="27" t="str">
        <f>IFERROR(IF(Tbl_B3_Placeholders_01[[#This Row],[Is State "NY" (If true, show Account ID: Full Name. If false, show Account ID only)]]="","",IF(AND(_xlfn.ISFORMULA(Tbl_B3_Placeholders_01[[#This Row],[Is State "NY" (If true, show Account ID: Full Name. If false, show Account ID only)]]),EXACT(Tbl_B3_Placeholders_01[[#This Row],[Is State "NY" (If true, show Account ID: Full Name. If false, show Account ID only)]],Tbl_B3_Placeholders_01[[#This Row],[Is State "NY" (If true, show Account ID: Full Name. If false, show Account ID only) ANS]])),Rng_Lkp_AnswerStatus_Good,Rng_Lkp_AnswerStatus_Bad)),Rng_Lkp_AnswerStatus_Bad)</f>
        <v/>
      </c>
      <c r="J15" s="41">
        <v>4071</v>
      </c>
    </row>
    <row r="16" spans="1:10" x14ac:dyDescent="0.25">
      <c r="B16" s="11">
        <v>1066</v>
      </c>
      <c r="C16" s="12" t="s">
        <v>16</v>
      </c>
      <c r="D16" s="12" t="s">
        <v>55</v>
      </c>
      <c r="E16" s="89"/>
      <c r="F16" s="27" t="str">
        <f>IFERROR(IF(Tbl_B3_Placeholders_01[[#This Row],[Is State "NY" ("blah true" or "blah false")]]="","",IF(AND(_xlfn.ISFORMULA(Tbl_B3_Placeholders_01[[#This Row],[Is State "NY" ("blah true" or "blah false")]]),EXACT(Tbl_B3_Placeholders_01[[#This Row],[Is State "NY" ("blah true" or "blah false")]],Tbl_B3_Placeholders_01[[#This Row],[Is State "NY" ("blah true" or "blah false") ANS]])),Rng_Lkp_AnswerStatus_Good,Rng_Lkp_AnswerStatus_Bad)),Rng_Lkp_AnswerStatus_Bad)</f>
        <v/>
      </c>
      <c r="G16" s="41" t="s">
        <v>133</v>
      </c>
      <c r="H16" s="89"/>
      <c r="I16" s="27" t="str">
        <f>IFERROR(IF(Tbl_B3_Placeholders_01[[#This Row],[Is State "NY" (If true, show Account ID: Full Name. If false, show Account ID only)]]="","",IF(AND(_xlfn.ISFORMULA(Tbl_B3_Placeholders_01[[#This Row],[Is State "NY" (If true, show Account ID: Full Name. If false, show Account ID only)]]),EXACT(Tbl_B3_Placeholders_01[[#This Row],[Is State "NY" (If true, show Account ID: Full Name. If false, show Account ID only)]],Tbl_B3_Placeholders_01[[#This Row],[Is State "NY" (If true, show Account ID: Full Name. If false, show Account ID only) ANS]])),Rng_Lkp_AnswerStatus_Good,Rng_Lkp_AnswerStatus_Bad)),Rng_Lkp_AnswerStatus_Bad)</f>
        <v/>
      </c>
      <c r="J16" s="41">
        <v>1066</v>
      </c>
    </row>
    <row r="17" spans="2:10" x14ac:dyDescent="0.25">
      <c r="B17" s="11">
        <v>2316</v>
      </c>
      <c r="C17" s="12" t="s">
        <v>144</v>
      </c>
      <c r="D17" s="12" t="s">
        <v>56</v>
      </c>
      <c r="E17" s="89"/>
      <c r="F17" s="27" t="str">
        <f>IFERROR(IF(Tbl_B3_Placeholders_01[[#This Row],[Is State "NY" ("blah true" or "blah false")]]="","",IF(AND(_xlfn.ISFORMULA(Tbl_B3_Placeholders_01[[#This Row],[Is State "NY" ("blah true" or "blah false")]]),EXACT(Tbl_B3_Placeholders_01[[#This Row],[Is State "NY" ("blah true" or "blah false")]],Tbl_B3_Placeholders_01[[#This Row],[Is State "NY" ("blah true" or "blah false") ANS]])),Rng_Lkp_AnswerStatus_Good,Rng_Lkp_AnswerStatus_Bad)),Rng_Lkp_AnswerStatus_Bad)</f>
        <v/>
      </c>
      <c r="G17" s="41" t="s">
        <v>133</v>
      </c>
      <c r="H17" s="89"/>
      <c r="I17" s="27" t="str">
        <f>IFERROR(IF(Tbl_B3_Placeholders_01[[#This Row],[Is State "NY" (If true, show Account ID: Full Name. If false, show Account ID only)]]="","",IF(AND(_xlfn.ISFORMULA(Tbl_B3_Placeholders_01[[#This Row],[Is State "NY" (If true, show Account ID: Full Name. If false, show Account ID only)]]),EXACT(Tbl_B3_Placeholders_01[[#This Row],[Is State "NY" (If true, show Account ID: Full Name. If false, show Account ID only)]],Tbl_B3_Placeholders_01[[#This Row],[Is State "NY" (If true, show Account ID: Full Name. If false, show Account ID only) ANS]])),Rng_Lkp_AnswerStatus_Good,Rng_Lkp_AnswerStatus_Bad)),Rng_Lkp_AnswerStatus_Bad)</f>
        <v/>
      </c>
      <c r="J17" s="41">
        <v>2316</v>
      </c>
    </row>
    <row r="18" spans="2:10" x14ac:dyDescent="0.25">
      <c r="B18" s="14">
        <v>3334</v>
      </c>
      <c r="C18" s="15" t="s">
        <v>17</v>
      </c>
      <c r="D18" s="15" t="s">
        <v>51</v>
      </c>
      <c r="E18" s="89"/>
      <c r="F18" s="27" t="str">
        <f>IFERROR(IF(Tbl_B3_Placeholders_01[[#This Row],[Is State "NY" ("blah true" or "blah false")]]="","",IF(AND(_xlfn.ISFORMULA(Tbl_B3_Placeholders_01[[#This Row],[Is State "NY" ("blah true" or "blah false")]]),EXACT(Tbl_B3_Placeholders_01[[#This Row],[Is State "NY" ("blah true" or "blah false")]],Tbl_B3_Placeholders_01[[#This Row],[Is State "NY" ("blah true" or "blah false") ANS]])),Rng_Lkp_AnswerStatus_Good,Rng_Lkp_AnswerStatus_Bad)),Rng_Lkp_AnswerStatus_Bad)</f>
        <v/>
      </c>
      <c r="G18" s="41" t="s">
        <v>133</v>
      </c>
      <c r="H18" s="89"/>
      <c r="I18" s="27" t="str">
        <f>IFERROR(IF(Tbl_B3_Placeholders_01[[#This Row],[Is State "NY" (If true, show Account ID: Full Name. If false, show Account ID only)]]="","",IF(AND(_xlfn.ISFORMULA(Tbl_B3_Placeholders_01[[#This Row],[Is State "NY" (If true, show Account ID: Full Name. If false, show Account ID only)]]),EXACT(Tbl_B3_Placeholders_01[[#This Row],[Is State "NY" (If true, show Account ID: Full Name. If false, show Account ID only)]],Tbl_B3_Placeholders_01[[#This Row],[Is State "NY" (If true, show Account ID: Full Name. If false, show Account ID only) ANS]])),Rng_Lkp_AnswerStatus_Good,Rng_Lkp_AnswerStatus_Bad)),Rng_Lkp_AnswerStatus_Bad)</f>
        <v/>
      </c>
      <c r="J18" s="41">
        <v>3334</v>
      </c>
    </row>
    <row r="19" spans="2:10" x14ac:dyDescent="0.25">
      <c r="B19" s="14">
        <v>1084</v>
      </c>
      <c r="C19" s="15" t="s">
        <v>145</v>
      </c>
      <c r="D19" s="15" t="s">
        <v>56</v>
      </c>
      <c r="E19" s="89"/>
      <c r="F19" s="27" t="str">
        <f>IFERROR(IF(Tbl_B3_Placeholders_01[[#This Row],[Is State "NY" ("blah true" or "blah false")]]="","",IF(AND(_xlfn.ISFORMULA(Tbl_B3_Placeholders_01[[#This Row],[Is State "NY" ("blah true" or "blah false")]]),EXACT(Tbl_B3_Placeholders_01[[#This Row],[Is State "NY" ("blah true" or "blah false")]],Tbl_B3_Placeholders_01[[#This Row],[Is State "NY" ("blah true" or "blah false") ANS]])),Rng_Lkp_AnswerStatus_Good,Rng_Lkp_AnswerStatus_Bad)),Rng_Lkp_AnswerStatus_Bad)</f>
        <v/>
      </c>
      <c r="G19" s="41" t="s">
        <v>133</v>
      </c>
      <c r="H19" s="89"/>
      <c r="I19" s="27" t="str">
        <f>IFERROR(IF(Tbl_B3_Placeholders_01[[#This Row],[Is State "NY" (If true, show Account ID: Full Name. If false, show Account ID only)]]="","",IF(AND(_xlfn.ISFORMULA(Tbl_B3_Placeholders_01[[#This Row],[Is State "NY" (If true, show Account ID: Full Name. If false, show Account ID only)]]),EXACT(Tbl_B3_Placeholders_01[[#This Row],[Is State "NY" (If true, show Account ID: Full Name. If false, show Account ID only)]],Tbl_B3_Placeholders_01[[#This Row],[Is State "NY" (If true, show Account ID: Full Name. If false, show Account ID only) ANS]])),Rng_Lkp_AnswerStatus_Good,Rng_Lkp_AnswerStatus_Bad)),Rng_Lkp_AnswerStatus_Bad)</f>
        <v/>
      </c>
      <c r="J19" s="41">
        <v>1084</v>
      </c>
    </row>
    <row r="20" spans="2:10" x14ac:dyDescent="0.25">
      <c r="B20" s="14">
        <v>2458</v>
      </c>
      <c r="C20" s="15" t="s">
        <v>18</v>
      </c>
      <c r="D20" s="15" t="s">
        <v>51</v>
      </c>
      <c r="E20" s="89"/>
      <c r="F20" s="27" t="str">
        <f>IFERROR(IF(Tbl_B3_Placeholders_01[[#This Row],[Is State "NY" ("blah true" or "blah false")]]="","",IF(AND(_xlfn.ISFORMULA(Tbl_B3_Placeholders_01[[#This Row],[Is State "NY" ("blah true" or "blah false")]]),EXACT(Tbl_B3_Placeholders_01[[#This Row],[Is State "NY" ("blah true" or "blah false")]],Tbl_B3_Placeholders_01[[#This Row],[Is State "NY" ("blah true" or "blah false") ANS]])),Rng_Lkp_AnswerStatus_Good,Rng_Lkp_AnswerStatus_Bad)),Rng_Lkp_AnswerStatus_Bad)</f>
        <v/>
      </c>
      <c r="G20" s="41" t="s">
        <v>133</v>
      </c>
      <c r="H20" s="89"/>
      <c r="I20" s="27" t="str">
        <f>IFERROR(IF(Tbl_B3_Placeholders_01[[#This Row],[Is State "NY" (If true, show Account ID: Full Name. If false, show Account ID only)]]="","",IF(AND(_xlfn.ISFORMULA(Tbl_B3_Placeholders_01[[#This Row],[Is State "NY" (If true, show Account ID: Full Name. If false, show Account ID only)]]),EXACT(Tbl_B3_Placeholders_01[[#This Row],[Is State "NY" (If true, show Account ID: Full Name. If false, show Account ID only)]],Tbl_B3_Placeholders_01[[#This Row],[Is State "NY" (If true, show Account ID: Full Name. If false, show Account ID only) ANS]])),Rng_Lkp_AnswerStatus_Good,Rng_Lkp_AnswerStatus_Bad)),Rng_Lkp_AnswerStatus_Bad)</f>
        <v/>
      </c>
      <c r="J20" s="41">
        <v>2458</v>
      </c>
    </row>
    <row r="21" spans="2:10" x14ac:dyDescent="0.25">
      <c r="B21" s="14">
        <v>1495</v>
      </c>
      <c r="C21" s="15" t="s">
        <v>146</v>
      </c>
      <c r="D21" s="15" t="s">
        <v>49</v>
      </c>
      <c r="E21" s="89"/>
      <c r="F21" s="27" t="str">
        <f>IFERROR(IF(Tbl_B3_Placeholders_01[[#This Row],[Is State "NY" ("blah true" or "blah false")]]="","",IF(AND(_xlfn.ISFORMULA(Tbl_B3_Placeholders_01[[#This Row],[Is State "NY" ("blah true" or "blah false")]]),EXACT(Tbl_B3_Placeholders_01[[#This Row],[Is State "NY" ("blah true" or "blah false")]],Tbl_B3_Placeholders_01[[#This Row],[Is State "NY" ("blah true" or "blah false") ANS]])),Rng_Lkp_AnswerStatus_Good,Rng_Lkp_AnswerStatus_Bad)),Rng_Lkp_AnswerStatus_Bad)</f>
        <v/>
      </c>
      <c r="G21" s="41" t="s">
        <v>132</v>
      </c>
      <c r="H21" s="89"/>
      <c r="I21" s="27" t="str">
        <f>IFERROR(IF(Tbl_B3_Placeholders_01[[#This Row],[Is State "NY" (If true, show Account ID: Full Name. If false, show Account ID only)]]="","",IF(AND(_xlfn.ISFORMULA(Tbl_B3_Placeholders_01[[#This Row],[Is State "NY" (If true, show Account ID: Full Name. If false, show Account ID only)]]),EXACT(Tbl_B3_Placeholders_01[[#This Row],[Is State "NY" (If true, show Account ID: Full Name. If false, show Account ID only)]],Tbl_B3_Placeholders_01[[#This Row],[Is State "NY" (If true, show Account ID: Full Name. If false, show Account ID only) ANS]])),Rng_Lkp_AnswerStatus_Good,Rng_Lkp_AnswerStatus_Bad)),Rng_Lkp_AnswerStatus_Bad)</f>
        <v/>
      </c>
      <c r="J21" s="41" t="s">
        <v>150</v>
      </c>
    </row>
    <row r="22" spans="2:10" x14ac:dyDescent="0.25">
      <c r="B22" s="14">
        <v>1131</v>
      </c>
      <c r="C22" s="15" t="s">
        <v>19</v>
      </c>
      <c r="D22" s="15" t="s">
        <v>51</v>
      </c>
      <c r="E22" s="89"/>
      <c r="F22" s="27" t="str">
        <f>IFERROR(IF(Tbl_B3_Placeholders_01[[#This Row],[Is State "NY" ("blah true" or "blah false")]]="","",IF(AND(_xlfn.ISFORMULA(Tbl_B3_Placeholders_01[[#This Row],[Is State "NY" ("blah true" or "blah false")]]),EXACT(Tbl_B3_Placeholders_01[[#This Row],[Is State "NY" ("blah true" or "blah false")]],Tbl_B3_Placeholders_01[[#This Row],[Is State "NY" ("blah true" or "blah false") ANS]])),Rng_Lkp_AnswerStatus_Good,Rng_Lkp_AnswerStatus_Bad)),Rng_Lkp_AnswerStatus_Bad)</f>
        <v/>
      </c>
      <c r="G22" s="41" t="s">
        <v>133</v>
      </c>
      <c r="H22" s="89"/>
      <c r="I22" s="27" t="str">
        <f>IFERROR(IF(Tbl_B3_Placeholders_01[[#This Row],[Is State "NY" (If true, show Account ID: Full Name. If false, show Account ID only)]]="","",IF(AND(_xlfn.ISFORMULA(Tbl_B3_Placeholders_01[[#This Row],[Is State "NY" (If true, show Account ID: Full Name. If false, show Account ID only)]]),EXACT(Tbl_B3_Placeholders_01[[#This Row],[Is State "NY" (If true, show Account ID: Full Name. If false, show Account ID only)]],Tbl_B3_Placeholders_01[[#This Row],[Is State "NY" (If true, show Account ID: Full Name. If false, show Account ID only) ANS]])),Rng_Lkp_AnswerStatus_Good,Rng_Lkp_AnswerStatus_Bad)),Rng_Lkp_AnswerStatus_Bad)</f>
        <v/>
      </c>
      <c r="J22" s="41">
        <v>1131</v>
      </c>
    </row>
    <row r="23" spans="2:10" x14ac:dyDescent="0.25">
      <c r="B23" s="14">
        <v>2314</v>
      </c>
      <c r="C23" s="15" t="s">
        <v>147</v>
      </c>
      <c r="D23" s="15" t="s">
        <v>51</v>
      </c>
      <c r="E23" s="89"/>
      <c r="F23" s="27" t="str">
        <f>IFERROR(IF(Tbl_B3_Placeholders_01[[#This Row],[Is State "NY" ("blah true" or "blah false")]]="","",IF(AND(_xlfn.ISFORMULA(Tbl_B3_Placeholders_01[[#This Row],[Is State "NY" ("blah true" or "blah false")]]),EXACT(Tbl_B3_Placeholders_01[[#This Row],[Is State "NY" ("blah true" or "blah false")]],Tbl_B3_Placeholders_01[[#This Row],[Is State "NY" ("blah true" or "blah false") ANS]])),Rng_Lkp_AnswerStatus_Good,Rng_Lkp_AnswerStatus_Bad)),Rng_Lkp_AnswerStatus_Bad)</f>
        <v/>
      </c>
      <c r="G23" s="41" t="s">
        <v>133</v>
      </c>
      <c r="H23" s="89"/>
      <c r="I23" s="27" t="str">
        <f>IFERROR(IF(Tbl_B3_Placeholders_01[[#This Row],[Is State "NY" (If true, show Account ID: Full Name. If false, show Account ID only)]]="","",IF(AND(_xlfn.ISFORMULA(Tbl_B3_Placeholders_01[[#This Row],[Is State "NY" (If true, show Account ID: Full Name. If false, show Account ID only)]]),EXACT(Tbl_B3_Placeholders_01[[#This Row],[Is State "NY" (If true, show Account ID: Full Name. If false, show Account ID only)]],Tbl_B3_Placeholders_01[[#This Row],[Is State "NY" (If true, show Account ID: Full Name. If false, show Account ID only) ANS]])),Rng_Lkp_AnswerStatus_Good,Rng_Lkp_AnswerStatus_Bad)),Rng_Lkp_AnswerStatus_Bad)</f>
        <v/>
      </c>
      <c r="J23" s="41">
        <v>2314</v>
      </c>
    </row>
    <row r="24" spans="2:10" x14ac:dyDescent="0.25">
      <c r="B24" s="14">
        <v>2304</v>
      </c>
      <c r="C24" s="15" t="s">
        <v>20</v>
      </c>
      <c r="D24" s="15" t="s">
        <v>49</v>
      </c>
      <c r="E24" s="89"/>
      <c r="F24" s="27" t="str">
        <f>IFERROR(IF(Tbl_B3_Placeholders_01[[#This Row],[Is State "NY" ("blah true" or "blah false")]]="","",IF(AND(_xlfn.ISFORMULA(Tbl_B3_Placeholders_01[[#This Row],[Is State "NY" ("blah true" or "blah false")]]),EXACT(Tbl_B3_Placeholders_01[[#This Row],[Is State "NY" ("blah true" or "blah false")]],Tbl_B3_Placeholders_01[[#This Row],[Is State "NY" ("blah true" or "blah false") ANS]])),Rng_Lkp_AnswerStatus_Good,Rng_Lkp_AnswerStatus_Bad)),Rng_Lkp_AnswerStatus_Bad)</f>
        <v/>
      </c>
      <c r="G24" s="41" t="s">
        <v>132</v>
      </c>
      <c r="H24" s="89"/>
      <c r="I24" s="27" t="str">
        <f>IFERROR(IF(Tbl_B3_Placeholders_01[[#This Row],[Is State "NY" (If true, show Account ID: Full Name. If false, show Account ID only)]]="","",IF(AND(_xlfn.ISFORMULA(Tbl_B3_Placeholders_01[[#This Row],[Is State "NY" (If true, show Account ID: Full Name. If false, show Account ID only)]]),EXACT(Tbl_B3_Placeholders_01[[#This Row],[Is State "NY" (If true, show Account ID: Full Name. If false, show Account ID only)]],Tbl_B3_Placeholders_01[[#This Row],[Is State "NY" (If true, show Account ID: Full Name. If false, show Account ID only) ANS]])),Rng_Lkp_AnswerStatus_Good,Rng_Lkp_AnswerStatus_Bad)),Rng_Lkp_AnswerStatus_Bad)</f>
        <v/>
      </c>
      <c r="J24" s="41" t="s">
        <v>118</v>
      </c>
    </row>
    <row r="25" spans="2:10" x14ac:dyDescent="0.25">
      <c r="B25" s="14">
        <v>3694</v>
      </c>
      <c r="C25" s="15" t="s">
        <v>21</v>
      </c>
      <c r="D25" s="15" t="s">
        <v>57</v>
      </c>
      <c r="E25" s="89"/>
      <c r="F25" s="27" t="str">
        <f>IFERROR(IF(Tbl_B3_Placeholders_01[[#This Row],[Is State "NY" ("blah true" or "blah false")]]="","",IF(AND(_xlfn.ISFORMULA(Tbl_B3_Placeholders_01[[#This Row],[Is State "NY" ("blah true" or "blah false")]]),EXACT(Tbl_B3_Placeholders_01[[#This Row],[Is State "NY" ("blah true" or "blah false")]],Tbl_B3_Placeholders_01[[#This Row],[Is State "NY" ("blah true" or "blah false") ANS]])),Rng_Lkp_AnswerStatus_Good,Rng_Lkp_AnswerStatus_Bad)),Rng_Lkp_AnswerStatus_Bad)</f>
        <v/>
      </c>
      <c r="G25" s="41" t="s">
        <v>133</v>
      </c>
      <c r="H25" s="89"/>
      <c r="I25" s="27" t="str">
        <f>IFERROR(IF(Tbl_B3_Placeholders_01[[#This Row],[Is State "NY" (If true, show Account ID: Full Name. If false, show Account ID only)]]="","",IF(AND(_xlfn.ISFORMULA(Tbl_B3_Placeholders_01[[#This Row],[Is State "NY" (If true, show Account ID: Full Name. If false, show Account ID only)]]),EXACT(Tbl_B3_Placeholders_01[[#This Row],[Is State "NY" (If true, show Account ID: Full Name. If false, show Account ID only)]],Tbl_B3_Placeholders_01[[#This Row],[Is State "NY" (If true, show Account ID: Full Name. If false, show Account ID only) ANS]])),Rng_Lkp_AnswerStatus_Good,Rng_Lkp_AnswerStatus_Bad)),Rng_Lkp_AnswerStatus_Bad)</f>
        <v/>
      </c>
      <c r="J25" s="41">
        <v>3694</v>
      </c>
    </row>
    <row r="26" spans="2:10" x14ac:dyDescent="0.25">
      <c r="B26" s="14">
        <v>4522</v>
      </c>
      <c r="C26" s="15" t="s">
        <v>22</v>
      </c>
      <c r="D26" s="15" t="s">
        <v>56</v>
      </c>
      <c r="E26" s="89"/>
      <c r="F26" s="27" t="str">
        <f>IFERROR(IF(Tbl_B3_Placeholders_01[[#This Row],[Is State "NY" ("blah true" or "blah false")]]="","",IF(AND(_xlfn.ISFORMULA(Tbl_B3_Placeholders_01[[#This Row],[Is State "NY" ("blah true" or "blah false")]]),EXACT(Tbl_B3_Placeholders_01[[#This Row],[Is State "NY" ("blah true" or "blah false")]],Tbl_B3_Placeholders_01[[#This Row],[Is State "NY" ("blah true" or "blah false") ANS]])),Rng_Lkp_AnswerStatus_Good,Rng_Lkp_AnswerStatus_Bad)),Rng_Lkp_AnswerStatus_Bad)</f>
        <v/>
      </c>
      <c r="G26" s="41" t="s">
        <v>133</v>
      </c>
      <c r="H26" s="89"/>
      <c r="I26" s="27" t="str">
        <f>IFERROR(IF(Tbl_B3_Placeholders_01[[#This Row],[Is State "NY" (If true, show Account ID: Full Name. If false, show Account ID only)]]="","",IF(AND(_xlfn.ISFORMULA(Tbl_B3_Placeholders_01[[#This Row],[Is State "NY" (If true, show Account ID: Full Name. If false, show Account ID only)]]),EXACT(Tbl_B3_Placeholders_01[[#This Row],[Is State "NY" (If true, show Account ID: Full Name. If false, show Account ID only)]],Tbl_B3_Placeholders_01[[#This Row],[Is State "NY" (If true, show Account ID: Full Name. If false, show Account ID only) ANS]])),Rng_Lkp_AnswerStatus_Good,Rng_Lkp_AnswerStatus_Bad)),Rng_Lkp_AnswerStatus_Bad)</f>
        <v/>
      </c>
      <c r="J26" s="41">
        <v>4522</v>
      </c>
    </row>
    <row r="27" spans="2:10" x14ac:dyDescent="0.25">
      <c r="B27" s="14">
        <v>1198</v>
      </c>
      <c r="C27" s="15" t="s">
        <v>148</v>
      </c>
      <c r="D27" s="15" t="s">
        <v>49</v>
      </c>
      <c r="E27" s="89"/>
      <c r="F27" s="27" t="str">
        <f>IFERROR(IF(Tbl_B3_Placeholders_01[[#This Row],[Is State "NY" ("blah true" or "blah false")]]="","",IF(AND(_xlfn.ISFORMULA(Tbl_B3_Placeholders_01[[#This Row],[Is State "NY" ("blah true" or "blah false")]]),EXACT(Tbl_B3_Placeholders_01[[#This Row],[Is State "NY" ("blah true" or "blah false")]],Tbl_B3_Placeholders_01[[#This Row],[Is State "NY" ("blah true" or "blah false") ANS]])),Rng_Lkp_AnswerStatus_Good,Rng_Lkp_AnswerStatus_Bad)),Rng_Lkp_AnswerStatus_Bad)</f>
        <v/>
      </c>
      <c r="G27" s="41" t="s">
        <v>132</v>
      </c>
      <c r="H27" s="89"/>
      <c r="I27" s="27" t="str">
        <f>IFERROR(IF(Tbl_B3_Placeholders_01[[#This Row],[Is State "NY" (If true, show Account ID: Full Name. If false, show Account ID only)]]="","",IF(AND(_xlfn.ISFORMULA(Tbl_B3_Placeholders_01[[#This Row],[Is State "NY" (If true, show Account ID: Full Name. If false, show Account ID only)]]),EXACT(Tbl_B3_Placeholders_01[[#This Row],[Is State "NY" (If true, show Account ID: Full Name. If false, show Account ID only)]],Tbl_B3_Placeholders_01[[#This Row],[Is State "NY" (If true, show Account ID: Full Name. If false, show Account ID only) ANS]])),Rng_Lkp_AnswerStatus_Good,Rng_Lkp_AnswerStatus_Bad)),Rng_Lkp_AnswerStatus_Bad)</f>
        <v/>
      </c>
      <c r="J27" s="41" t="s">
        <v>151</v>
      </c>
    </row>
  </sheetData>
  <conditionalFormatting sqref="B8:J27">
    <cfRule type="cellIs" dxfId="187" priority="2" operator="equal">
      <formula>Rng_Lkp_AnswerStatus_Bad</formula>
    </cfRule>
    <cfRule type="cellIs" dxfId="186" priority="3" operator="equal">
      <formula>Rng_Lkp_AnswerStatus_Good</formula>
    </cfRule>
  </conditionalFormatting>
  <conditionalFormatting sqref="B5:B6 F6 I6">
    <cfRule type="colorScale" priority="1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pageMargins left="0.7" right="0.7" top="0.75" bottom="0.75" header="0.3" footer="0.3"/>
  <pageSetup paperSize="121" orientation="portrait" horizontalDpi="300" verticalDpi="300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BA28E-4321-461A-A38C-EFAA28185483}">
  <sheetPr>
    <tabColor theme="8"/>
  </sheetPr>
  <dimension ref="A1:K27"/>
  <sheetViews>
    <sheetView showGridLines="0"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ColWidth="9.140625" defaultRowHeight="15" outlineLevelRow="1" outlineLevelCol="1" x14ac:dyDescent="0.25"/>
  <cols>
    <col min="1" max="1" width="2.5703125" style="10" customWidth="1"/>
    <col min="2" max="2" width="8.140625" style="10" bestFit="1" customWidth="1"/>
    <col min="3" max="3" width="13.85546875" style="10" bestFit="1" customWidth="1"/>
    <col min="4" max="4" width="5.5703125" style="10" bestFit="1" customWidth="1"/>
    <col min="5" max="5" width="14.140625" style="10" bestFit="1" customWidth="1"/>
    <col min="6" max="6" width="8.140625" style="10" bestFit="1" customWidth="1"/>
    <col min="7" max="7" width="17.28515625" style="10" hidden="1" customWidth="1" outlineLevel="1"/>
    <col min="8" max="8" width="26.42578125" style="10" bestFit="1" customWidth="1" collapsed="1"/>
    <col min="9" max="9" width="8.140625" style="10" bestFit="1" customWidth="1"/>
    <col min="10" max="10" width="29.140625" style="10" hidden="1" customWidth="1" outlineLevel="1"/>
    <col min="11" max="11" width="9.140625" style="10" collapsed="1"/>
    <col min="12" max="16384" width="9.140625" style="10"/>
  </cols>
  <sheetData>
    <row r="1" spans="1:10" s="8" customFormat="1" ht="21" x14ac:dyDescent="0.35">
      <c r="A1" s="95" t="s">
        <v>123</v>
      </c>
      <c r="B1" s="4"/>
    </row>
    <row r="2" spans="1:10" s="8" customFormat="1" ht="18.75" x14ac:dyDescent="0.3">
      <c r="A2" s="96" t="s">
        <v>11</v>
      </c>
      <c r="B2" s="9"/>
    </row>
    <row r="3" spans="1:10" ht="6.95" customHeight="1" x14ac:dyDescent="0.25"/>
    <row r="4" spans="1:10" x14ac:dyDescent="0.25">
      <c r="D4" s="16" t="s">
        <v>137</v>
      </c>
      <c r="E4" s="30">
        <v>1</v>
      </c>
      <c r="F4" s="17"/>
      <c r="G4" s="17"/>
      <c r="H4" s="30">
        <v>2</v>
      </c>
      <c r="I4" s="17"/>
      <c r="J4" s="17"/>
    </row>
    <row r="5" spans="1:10" hidden="1" outlineLevel="1" x14ac:dyDescent="0.25">
      <c r="B5" s="38">
        <f>IFERROR(IF(SUMIFS(E5:J5,E4:J4,"&gt;=0")=0,"",SUMIFS(E5:J5,E4:J4,"&gt;=0")/SUMIFS(E5:J5,E6:J6,"ANSWER")),"")</f>
        <v>1</v>
      </c>
      <c r="C5" s="35" t="s">
        <v>43</v>
      </c>
      <c r="D5" s="50"/>
      <c r="E5" s="36">
        <f>IFERROR(COUNTA(Tbl_B3_Placeholders_ANS[Is State "NY" ("blah true" or "blah false")]),"")</f>
        <v>20</v>
      </c>
      <c r="F5" s="37">
        <f>IFERROR(COUNTIF(Tbl_B3_Placeholders_ANS[Answer Status Q01],Rng_Lkp_AnswerStatus_Good),"")</f>
        <v>20</v>
      </c>
      <c r="G5" s="37">
        <f>IFERROR(COUNTA(Tbl_B3_Placeholders_ANS[Is State "NY" ("blah true" or "blah false") ANS]),"")</f>
        <v>20</v>
      </c>
      <c r="H5" s="36">
        <f>IFERROR(COUNTA(Tbl_B3_Placeholders_ANS[Is State "NY" (If true, show Account ID: Full Name. If false, show Account ID only)]),"")</f>
        <v>20</v>
      </c>
      <c r="I5" s="37">
        <f>IFERROR(COUNTIF(Tbl_B3_Placeholders_ANS[Answer Status Q02],Rng_Lkp_AnswerStatus_Good),"")</f>
        <v>20</v>
      </c>
      <c r="J5" s="37">
        <f>IFERROR(COUNTA(Tbl_B3_Placeholders_ANS[Is State "NY" (If true, show Account ID: Full Name. If false, show Account ID only) ANS]),"")</f>
        <v>20</v>
      </c>
    </row>
    <row r="6" spans="1:10" collapsed="1" x14ac:dyDescent="0.25">
      <c r="B6" s="38">
        <f>IFERROR(IF(SUMIFS(E5:J5,E4:J4,"&gt;=0")=0,"",SUMIFS(E5:J5,E6:J6,"&gt;=0", E6:J6,"&lt;=1")/SUMIFS(E5:J5,E4:J4,"&gt;0")),"")</f>
        <v>1</v>
      </c>
      <c r="C6" s="35" t="s">
        <v>44</v>
      </c>
      <c r="D6" s="50"/>
      <c r="E6" s="30" t="s">
        <v>58</v>
      </c>
      <c r="F6" s="28">
        <f>IFERROR(F5/E5,"")</f>
        <v>1</v>
      </c>
      <c r="G6" s="31" t="s">
        <v>26</v>
      </c>
      <c r="H6" s="30" t="s">
        <v>58</v>
      </c>
      <c r="I6" s="28">
        <f>IFERROR(I5/H5,"")</f>
        <v>1</v>
      </c>
      <c r="J6" s="31" t="s">
        <v>26</v>
      </c>
    </row>
    <row r="7" spans="1:10" ht="45" x14ac:dyDescent="0.25">
      <c r="B7" s="20" t="s">
        <v>10</v>
      </c>
      <c r="C7" s="21" t="s">
        <v>12</v>
      </c>
      <c r="D7" s="21" t="s">
        <v>48</v>
      </c>
      <c r="E7" s="29" t="s">
        <v>131</v>
      </c>
      <c r="F7" s="26" t="s">
        <v>33</v>
      </c>
      <c r="G7" s="32" t="s">
        <v>134</v>
      </c>
      <c r="H7" s="29" t="s">
        <v>135</v>
      </c>
      <c r="I7" s="26" t="s">
        <v>34</v>
      </c>
      <c r="J7" s="32" t="s">
        <v>136</v>
      </c>
    </row>
    <row r="8" spans="1:10" x14ac:dyDescent="0.25">
      <c r="B8" s="11">
        <v>4405</v>
      </c>
      <c r="C8" s="12" t="s">
        <v>143</v>
      </c>
      <c r="D8" s="12" t="s">
        <v>49</v>
      </c>
      <c r="E8" s="88" t="str">
        <f>IF(Tbl_B3_Placeholders_ANS[[#This Row],[State]]="NY","blah true","blah false")</f>
        <v>blah true</v>
      </c>
      <c r="F8" s="27" t="str">
        <f>IFERROR(IF(Tbl_B3_Placeholders_ANS[[#This Row],[Is State "NY" ("blah true" or "blah false")]]="","",IF(AND(_xlfn.ISFORMULA(Tbl_B3_Placeholders_ANS[[#This Row],[Is State "NY" ("blah true" or "blah false")]]),EXACT(Tbl_B3_Placeholders_ANS[[#This Row],[Is State "NY" ("blah true" or "blah false")]],Tbl_B3_Placeholders_ANS[[#This Row],[Is State "NY" ("blah true" or "blah false") ANS]])),Rng_Lkp_AnswerStatus_Good,Rng_Lkp_AnswerStatus_Bad)),Rng_Lkp_AnswerStatus_Bad)</f>
        <v>Correct</v>
      </c>
      <c r="G8" s="41" t="s">
        <v>132</v>
      </c>
      <c r="H8" s="88" t="str">
        <f>IF(Tbl_B3_Placeholders_ANS[[#This Row],[State]]="NY",Tbl_B3_Placeholders_ANS[[#This Row],[Account ID]] &amp; ": " &amp; Tbl_B3_Placeholders_ANS[[#This Row],[Full Name]],Tbl_B3_Placeholders_ANS[[#This Row],[Account ID]])</f>
        <v>4405: Tammy Ward</v>
      </c>
      <c r="I8" s="27" t="str">
        <f>IFERROR(IF(Tbl_B3_Placeholders_ANS[[#This Row],[Is State "NY" (If true, show Account ID: Full Name. If false, show Account ID only)]]="","",IF(AND(_xlfn.ISFORMULA(Tbl_B3_Placeholders_ANS[[#This Row],[Is State "NY" (If true, show Account ID: Full Name. If false, show Account ID only)]]),EXACT(Tbl_B3_Placeholders_ANS[[#This Row],[Is State "NY" (If true, show Account ID: Full Name. If false, show Account ID only)]],Tbl_B3_Placeholders_ANS[[#This Row],[Is State "NY" (If true, show Account ID: Full Name. If false, show Account ID only) ANS]])),Rng_Lkp_AnswerStatus_Good,Rng_Lkp_AnswerStatus_Bad)),Rng_Lkp_AnswerStatus_Bad)</f>
        <v>Correct</v>
      </c>
      <c r="J8" s="41" t="s">
        <v>149</v>
      </c>
    </row>
    <row r="9" spans="1:10" x14ac:dyDescent="0.25">
      <c r="B9" s="11">
        <v>1030</v>
      </c>
      <c r="C9" s="12" t="s">
        <v>13</v>
      </c>
      <c r="D9" s="12" t="s">
        <v>50</v>
      </c>
      <c r="E9" s="89" t="str">
        <f>IF(Tbl_B3_Placeholders_ANS[[#This Row],[State]]="NY","blah true","blah false")</f>
        <v>blah false</v>
      </c>
      <c r="F9" s="27" t="str">
        <f>IFERROR(IF(Tbl_B3_Placeholders_ANS[[#This Row],[Is State "NY" ("blah true" or "blah false")]]="","",IF(AND(_xlfn.ISFORMULA(Tbl_B3_Placeholders_ANS[[#This Row],[Is State "NY" ("blah true" or "blah false")]]),EXACT(Tbl_B3_Placeholders_ANS[[#This Row],[Is State "NY" ("blah true" or "blah false")]],Tbl_B3_Placeholders_ANS[[#This Row],[Is State "NY" ("blah true" or "blah false") ANS]])),Rng_Lkp_AnswerStatus_Good,Rng_Lkp_AnswerStatus_Bad)),Rng_Lkp_AnswerStatus_Bad)</f>
        <v>Correct</v>
      </c>
      <c r="G9" s="41" t="s">
        <v>133</v>
      </c>
      <c r="H9" s="89">
        <f>IF(Tbl_B3_Placeholders_ANS[[#This Row],[State]]="NY",Tbl_B3_Placeholders_ANS[[#This Row],[Account ID]] &amp; ": " &amp; Tbl_B3_Placeholders_ANS[[#This Row],[Full Name]],Tbl_B3_Placeholders_ANS[[#This Row],[Account ID]])</f>
        <v>1030</v>
      </c>
      <c r="I9" s="27" t="str">
        <f>IFERROR(IF(Tbl_B3_Placeholders_ANS[[#This Row],[Is State "NY" (If true, show Account ID: Full Name. If false, show Account ID only)]]="","",IF(AND(_xlfn.ISFORMULA(Tbl_B3_Placeholders_ANS[[#This Row],[Is State "NY" (If true, show Account ID: Full Name. If false, show Account ID only)]]),EXACT(Tbl_B3_Placeholders_ANS[[#This Row],[Is State "NY" (If true, show Account ID: Full Name. If false, show Account ID only)]],Tbl_B3_Placeholders_ANS[[#This Row],[Is State "NY" (If true, show Account ID: Full Name. If false, show Account ID only) ANS]])),Rng_Lkp_AnswerStatus_Good,Rng_Lkp_AnswerStatus_Bad)),Rng_Lkp_AnswerStatus_Bad)</f>
        <v>Correct</v>
      </c>
      <c r="J9" s="41">
        <v>1030</v>
      </c>
    </row>
    <row r="10" spans="1:10" x14ac:dyDescent="0.25">
      <c r="B10" s="11">
        <v>1603</v>
      </c>
      <c r="C10" s="12" t="s">
        <v>142</v>
      </c>
      <c r="D10" s="12" t="s">
        <v>51</v>
      </c>
      <c r="E10" s="89" t="str">
        <f>IF(Tbl_B3_Placeholders_ANS[[#This Row],[State]]="NY","blah true","blah false")</f>
        <v>blah false</v>
      </c>
      <c r="F10" s="27" t="str">
        <f>IFERROR(IF(Tbl_B3_Placeholders_ANS[[#This Row],[Is State "NY" ("blah true" or "blah false")]]="","",IF(AND(_xlfn.ISFORMULA(Tbl_B3_Placeholders_ANS[[#This Row],[Is State "NY" ("blah true" or "blah false")]]),EXACT(Tbl_B3_Placeholders_ANS[[#This Row],[Is State "NY" ("blah true" or "blah false")]],Tbl_B3_Placeholders_ANS[[#This Row],[Is State "NY" ("blah true" or "blah false") ANS]])),Rng_Lkp_AnswerStatus_Good,Rng_Lkp_AnswerStatus_Bad)),Rng_Lkp_AnswerStatus_Bad)</f>
        <v>Correct</v>
      </c>
      <c r="G10" s="41" t="s">
        <v>133</v>
      </c>
      <c r="H10" s="89">
        <f>IF(Tbl_B3_Placeholders_ANS[[#This Row],[State]]="NY",Tbl_B3_Placeholders_ANS[[#This Row],[Account ID]] &amp; ": " &amp; Tbl_B3_Placeholders_ANS[[#This Row],[Full Name]],Tbl_B3_Placeholders_ANS[[#This Row],[Account ID]])</f>
        <v>1603</v>
      </c>
      <c r="I10" s="27" t="str">
        <f>IFERROR(IF(Tbl_B3_Placeholders_ANS[[#This Row],[Is State "NY" (If true, show Account ID: Full Name. If false, show Account ID only)]]="","",IF(AND(_xlfn.ISFORMULA(Tbl_B3_Placeholders_ANS[[#This Row],[Is State "NY" (If true, show Account ID: Full Name. If false, show Account ID only)]]),EXACT(Tbl_B3_Placeholders_ANS[[#This Row],[Is State "NY" (If true, show Account ID: Full Name. If false, show Account ID only)]],Tbl_B3_Placeholders_ANS[[#This Row],[Is State "NY" (If true, show Account ID: Full Name. If false, show Account ID only) ANS]])),Rng_Lkp_AnswerStatus_Good,Rng_Lkp_AnswerStatus_Bad)),Rng_Lkp_AnswerStatus_Bad)</f>
        <v>Correct</v>
      </c>
      <c r="J10" s="41">
        <v>1603</v>
      </c>
    </row>
    <row r="11" spans="1:10" x14ac:dyDescent="0.25">
      <c r="B11" s="11">
        <v>4298</v>
      </c>
      <c r="C11" s="12" t="s">
        <v>14</v>
      </c>
      <c r="D11" s="12" t="s">
        <v>52</v>
      </c>
      <c r="E11" s="89" t="str">
        <f>IF(Tbl_B3_Placeholders_ANS[[#This Row],[State]]="NY","blah true","blah false")</f>
        <v>blah false</v>
      </c>
      <c r="F11" s="27" t="str">
        <f>IFERROR(IF(Tbl_B3_Placeholders_ANS[[#This Row],[Is State "NY" ("blah true" or "blah false")]]="","",IF(AND(_xlfn.ISFORMULA(Tbl_B3_Placeholders_ANS[[#This Row],[Is State "NY" ("blah true" or "blah false")]]),EXACT(Tbl_B3_Placeholders_ANS[[#This Row],[Is State "NY" ("blah true" or "blah false")]],Tbl_B3_Placeholders_ANS[[#This Row],[Is State "NY" ("blah true" or "blah false") ANS]])),Rng_Lkp_AnswerStatus_Good,Rng_Lkp_AnswerStatus_Bad)),Rng_Lkp_AnswerStatus_Bad)</f>
        <v>Correct</v>
      </c>
      <c r="G11" s="41" t="s">
        <v>133</v>
      </c>
      <c r="H11" s="89">
        <f>IF(Tbl_B3_Placeholders_ANS[[#This Row],[State]]="NY",Tbl_B3_Placeholders_ANS[[#This Row],[Account ID]] &amp; ": " &amp; Tbl_B3_Placeholders_ANS[[#This Row],[Full Name]],Tbl_B3_Placeholders_ANS[[#This Row],[Account ID]])</f>
        <v>4298</v>
      </c>
      <c r="I11" s="27" t="str">
        <f>IFERROR(IF(Tbl_B3_Placeholders_ANS[[#This Row],[Is State "NY" (If true, show Account ID: Full Name. If false, show Account ID only)]]="","",IF(AND(_xlfn.ISFORMULA(Tbl_B3_Placeholders_ANS[[#This Row],[Is State "NY" (If true, show Account ID: Full Name. If false, show Account ID only)]]),EXACT(Tbl_B3_Placeholders_ANS[[#This Row],[Is State "NY" (If true, show Account ID: Full Name. If false, show Account ID only)]],Tbl_B3_Placeholders_ANS[[#This Row],[Is State "NY" (If true, show Account ID: Full Name. If false, show Account ID only) ANS]])),Rng_Lkp_AnswerStatus_Good,Rng_Lkp_AnswerStatus_Bad)),Rng_Lkp_AnswerStatus_Bad)</f>
        <v>Correct</v>
      </c>
      <c r="J11" s="41">
        <v>4298</v>
      </c>
    </row>
    <row r="12" spans="1:10" x14ac:dyDescent="0.25">
      <c r="B12" s="11">
        <v>2352</v>
      </c>
      <c r="C12" s="12" t="s">
        <v>139</v>
      </c>
      <c r="D12" s="12" t="s">
        <v>53</v>
      </c>
      <c r="E12" s="89" t="str">
        <f>IF(Tbl_B3_Placeholders_ANS[[#This Row],[State]]="NY","blah true","blah false")</f>
        <v>blah false</v>
      </c>
      <c r="F12" s="27" t="str">
        <f>IFERROR(IF(Tbl_B3_Placeholders_ANS[[#This Row],[Is State "NY" ("blah true" or "blah false")]]="","",IF(AND(_xlfn.ISFORMULA(Tbl_B3_Placeholders_ANS[[#This Row],[Is State "NY" ("blah true" or "blah false")]]),EXACT(Tbl_B3_Placeholders_ANS[[#This Row],[Is State "NY" ("blah true" or "blah false")]],Tbl_B3_Placeholders_ANS[[#This Row],[Is State "NY" ("blah true" or "blah false") ANS]])),Rng_Lkp_AnswerStatus_Good,Rng_Lkp_AnswerStatus_Bad)),Rng_Lkp_AnswerStatus_Bad)</f>
        <v>Correct</v>
      </c>
      <c r="G12" s="41" t="s">
        <v>133</v>
      </c>
      <c r="H12" s="89">
        <f>IF(Tbl_B3_Placeholders_ANS[[#This Row],[State]]="NY",Tbl_B3_Placeholders_ANS[[#This Row],[Account ID]] &amp; ": " &amp; Tbl_B3_Placeholders_ANS[[#This Row],[Full Name]],Tbl_B3_Placeholders_ANS[[#This Row],[Account ID]])</f>
        <v>2352</v>
      </c>
      <c r="I12" s="27" t="str">
        <f>IFERROR(IF(Tbl_B3_Placeholders_ANS[[#This Row],[Is State "NY" (If true, show Account ID: Full Name. If false, show Account ID only)]]="","",IF(AND(_xlfn.ISFORMULA(Tbl_B3_Placeholders_ANS[[#This Row],[Is State "NY" (If true, show Account ID: Full Name. If false, show Account ID only)]]),EXACT(Tbl_B3_Placeholders_ANS[[#This Row],[Is State "NY" (If true, show Account ID: Full Name. If false, show Account ID only)]],Tbl_B3_Placeholders_ANS[[#This Row],[Is State "NY" (If true, show Account ID: Full Name. If false, show Account ID only) ANS]])),Rng_Lkp_AnswerStatus_Good,Rng_Lkp_AnswerStatus_Bad)),Rng_Lkp_AnswerStatus_Bad)</f>
        <v>Correct</v>
      </c>
      <c r="J12" s="41">
        <v>2352</v>
      </c>
    </row>
    <row r="13" spans="1:10" x14ac:dyDescent="0.25">
      <c r="B13" s="11">
        <v>1049</v>
      </c>
      <c r="C13" s="12" t="s">
        <v>140</v>
      </c>
      <c r="D13" s="12" t="s">
        <v>54</v>
      </c>
      <c r="E13" s="89" t="str">
        <f>IF(Tbl_B3_Placeholders_ANS[[#This Row],[State]]="NY","blah true","blah false")</f>
        <v>blah false</v>
      </c>
      <c r="F13" s="27" t="str">
        <f>IFERROR(IF(Tbl_B3_Placeholders_ANS[[#This Row],[Is State "NY" ("blah true" or "blah false")]]="","",IF(AND(_xlfn.ISFORMULA(Tbl_B3_Placeholders_ANS[[#This Row],[Is State "NY" ("blah true" or "blah false")]]),EXACT(Tbl_B3_Placeholders_ANS[[#This Row],[Is State "NY" ("blah true" or "blah false")]],Tbl_B3_Placeholders_ANS[[#This Row],[Is State "NY" ("blah true" or "blah false") ANS]])),Rng_Lkp_AnswerStatus_Good,Rng_Lkp_AnswerStatus_Bad)),Rng_Lkp_AnswerStatus_Bad)</f>
        <v>Correct</v>
      </c>
      <c r="G13" s="41" t="s">
        <v>133</v>
      </c>
      <c r="H13" s="89">
        <f>IF(Tbl_B3_Placeholders_ANS[[#This Row],[State]]="NY",Tbl_B3_Placeholders_ANS[[#This Row],[Account ID]] &amp; ": " &amp; Tbl_B3_Placeholders_ANS[[#This Row],[Full Name]],Tbl_B3_Placeholders_ANS[[#This Row],[Account ID]])</f>
        <v>1049</v>
      </c>
      <c r="I13" s="27" t="str">
        <f>IFERROR(IF(Tbl_B3_Placeholders_ANS[[#This Row],[Is State "NY" (If true, show Account ID: Full Name. If false, show Account ID only)]]="","",IF(AND(_xlfn.ISFORMULA(Tbl_B3_Placeholders_ANS[[#This Row],[Is State "NY" (If true, show Account ID: Full Name. If false, show Account ID only)]]),EXACT(Tbl_B3_Placeholders_ANS[[#This Row],[Is State "NY" (If true, show Account ID: Full Name. If false, show Account ID only)]],Tbl_B3_Placeholders_ANS[[#This Row],[Is State "NY" (If true, show Account ID: Full Name. If false, show Account ID only) ANS]])),Rng_Lkp_AnswerStatus_Good,Rng_Lkp_AnswerStatus_Bad)),Rng_Lkp_AnswerStatus_Bad)</f>
        <v>Correct</v>
      </c>
      <c r="J13" s="41">
        <v>1049</v>
      </c>
    </row>
    <row r="14" spans="1:10" x14ac:dyDescent="0.25">
      <c r="B14" s="11">
        <v>2278</v>
      </c>
      <c r="C14" s="12" t="s">
        <v>141</v>
      </c>
      <c r="D14" s="12" t="s">
        <v>51</v>
      </c>
      <c r="E14" s="89" t="str">
        <f>IF(Tbl_B3_Placeholders_ANS[[#This Row],[State]]="NY","blah true","blah false")</f>
        <v>blah false</v>
      </c>
      <c r="F14" s="27" t="str">
        <f>IFERROR(IF(Tbl_B3_Placeholders_ANS[[#This Row],[Is State "NY" ("blah true" or "blah false")]]="","",IF(AND(_xlfn.ISFORMULA(Tbl_B3_Placeholders_ANS[[#This Row],[Is State "NY" ("blah true" or "blah false")]]),EXACT(Tbl_B3_Placeholders_ANS[[#This Row],[Is State "NY" ("blah true" or "blah false")]],Tbl_B3_Placeholders_ANS[[#This Row],[Is State "NY" ("blah true" or "blah false") ANS]])),Rng_Lkp_AnswerStatus_Good,Rng_Lkp_AnswerStatus_Bad)),Rng_Lkp_AnswerStatus_Bad)</f>
        <v>Correct</v>
      </c>
      <c r="G14" s="41" t="s">
        <v>133</v>
      </c>
      <c r="H14" s="89">
        <f>IF(Tbl_B3_Placeholders_ANS[[#This Row],[State]]="NY",Tbl_B3_Placeholders_ANS[[#This Row],[Account ID]] &amp; ": " &amp; Tbl_B3_Placeholders_ANS[[#This Row],[Full Name]],Tbl_B3_Placeholders_ANS[[#This Row],[Account ID]])</f>
        <v>2278</v>
      </c>
      <c r="I14" s="27" t="str">
        <f>IFERROR(IF(Tbl_B3_Placeholders_ANS[[#This Row],[Is State "NY" (If true, show Account ID: Full Name. If false, show Account ID only)]]="","",IF(AND(_xlfn.ISFORMULA(Tbl_B3_Placeholders_ANS[[#This Row],[Is State "NY" (If true, show Account ID: Full Name. If false, show Account ID only)]]),EXACT(Tbl_B3_Placeholders_ANS[[#This Row],[Is State "NY" (If true, show Account ID: Full Name. If false, show Account ID only)]],Tbl_B3_Placeholders_ANS[[#This Row],[Is State "NY" (If true, show Account ID: Full Name. If false, show Account ID only) ANS]])),Rng_Lkp_AnswerStatus_Good,Rng_Lkp_AnswerStatus_Bad)),Rng_Lkp_AnswerStatus_Bad)</f>
        <v>Correct</v>
      </c>
      <c r="J14" s="41">
        <v>2278</v>
      </c>
    </row>
    <row r="15" spans="1:10" x14ac:dyDescent="0.25">
      <c r="B15" s="11">
        <v>4071</v>
      </c>
      <c r="C15" s="12" t="s">
        <v>15</v>
      </c>
      <c r="D15" s="12" t="s">
        <v>52</v>
      </c>
      <c r="E15" s="89" t="str">
        <f>IF(Tbl_B3_Placeholders_ANS[[#This Row],[State]]="NY","blah true","blah false")</f>
        <v>blah false</v>
      </c>
      <c r="F15" s="27" t="str">
        <f>IFERROR(IF(Tbl_B3_Placeholders_ANS[[#This Row],[Is State "NY" ("blah true" or "blah false")]]="","",IF(AND(_xlfn.ISFORMULA(Tbl_B3_Placeholders_ANS[[#This Row],[Is State "NY" ("blah true" or "blah false")]]),EXACT(Tbl_B3_Placeholders_ANS[[#This Row],[Is State "NY" ("blah true" or "blah false")]],Tbl_B3_Placeholders_ANS[[#This Row],[Is State "NY" ("blah true" or "blah false") ANS]])),Rng_Lkp_AnswerStatus_Good,Rng_Lkp_AnswerStatus_Bad)),Rng_Lkp_AnswerStatus_Bad)</f>
        <v>Correct</v>
      </c>
      <c r="G15" s="41" t="s">
        <v>133</v>
      </c>
      <c r="H15" s="89">
        <f>IF(Tbl_B3_Placeholders_ANS[[#This Row],[State]]="NY",Tbl_B3_Placeholders_ANS[[#This Row],[Account ID]] &amp; ": " &amp; Tbl_B3_Placeholders_ANS[[#This Row],[Full Name]],Tbl_B3_Placeholders_ANS[[#This Row],[Account ID]])</f>
        <v>4071</v>
      </c>
      <c r="I15" s="27" t="str">
        <f>IFERROR(IF(Tbl_B3_Placeholders_ANS[[#This Row],[Is State "NY" (If true, show Account ID: Full Name. If false, show Account ID only)]]="","",IF(AND(_xlfn.ISFORMULA(Tbl_B3_Placeholders_ANS[[#This Row],[Is State "NY" (If true, show Account ID: Full Name. If false, show Account ID only)]]),EXACT(Tbl_B3_Placeholders_ANS[[#This Row],[Is State "NY" (If true, show Account ID: Full Name. If false, show Account ID only)]],Tbl_B3_Placeholders_ANS[[#This Row],[Is State "NY" (If true, show Account ID: Full Name. If false, show Account ID only) ANS]])),Rng_Lkp_AnswerStatus_Good,Rng_Lkp_AnswerStatus_Bad)),Rng_Lkp_AnswerStatus_Bad)</f>
        <v>Correct</v>
      </c>
      <c r="J15" s="41">
        <v>4071</v>
      </c>
    </row>
    <row r="16" spans="1:10" x14ac:dyDescent="0.25">
      <c r="B16" s="11">
        <v>1066</v>
      </c>
      <c r="C16" s="12" t="s">
        <v>16</v>
      </c>
      <c r="D16" s="12" t="s">
        <v>55</v>
      </c>
      <c r="E16" s="89" t="str">
        <f>IF(Tbl_B3_Placeholders_ANS[[#This Row],[State]]="NY","blah true","blah false")</f>
        <v>blah false</v>
      </c>
      <c r="F16" s="27" t="str">
        <f>IFERROR(IF(Tbl_B3_Placeholders_ANS[[#This Row],[Is State "NY" ("blah true" or "blah false")]]="","",IF(AND(_xlfn.ISFORMULA(Tbl_B3_Placeholders_ANS[[#This Row],[Is State "NY" ("blah true" or "blah false")]]),EXACT(Tbl_B3_Placeholders_ANS[[#This Row],[Is State "NY" ("blah true" or "blah false")]],Tbl_B3_Placeholders_ANS[[#This Row],[Is State "NY" ("blah true" or "blah false") ANS]])),Rng_Lkp_AnswerStatus_Good,Rng_Lkp_AnswerStatus_Bad)),Rng_Lkp_AnswerStatus_Bad)</f>
        <v>Correct</v>
      </c>
      <c r="G16" s="41" t="s">
        <v>133</v>
      </c>
      <c r="H16" s="89">
        <f>IF(Tbl_B3_Placeholders_ANS[[#This Row],[State]]="NY",Tbl_B3_Placeholders_ANS[[#This Row],[Account ID]] &amp; ": " &amp; Tbl_B3_Placeholders_ANS[[#This Row],[Full Name]],Tbl_B3_Placeholders_ANS[[#This Row],[Account ID]])</f>
        <v>1066</v>
      </c>
      <c r="I16" s="27" t="str">
        <f>IFERROR(IF(Tbl_B3_Placeholders_ANS[[#This Row],[Is State "NY" (If true, show Account ID: Full Name. If false, show Account ID only)]]="","",IF(AND(_xlfn.ISFORMULA(Tbl_B3_Placeholders_ANS[[#This Row],[Is State "NY" (If true, show Account ID: Full Name. If false, show Account ID only)]]),EXACT(Tbl_B3_Placeholders_ANS[[#This Row],[Is State "NY" (If true, show Account ID: Full Name. If false, show Account ID only)]],Tbl_B3_Placeholders_ANS[[#This Row],[Is State "NY" (If true, show Account ID: Full Name. If false, show Account ID only) ANS]])),Rng_Lkp_AnswerStatus_Good,Rng_Lkp_AnswerStatus_Bad)),Rng_Lkp_AnswerStatus_Bad)</f>
        <v>Correct</v>
      </c>
      <c r="J16" s="41">
        <v>1066</v>
      </c>
    </row>
    <row r="17" spans="2:10" x14ac:dyDescent="0.25">
      <c r="B17" s="11">
        <v>2316</v>
      </c>
      <c r="C17" s="12" t="s">
        <v>144</v>
      </c>
      <c r="D17" s="12" t="s">
        <v>56</v>
      </c>
      <c r="E17" s="89" t="str">
        <f>IF(Tbl_B3_Placeholders_ANS[[#This Row],[State]]="NY","blah true","blah false")</f>
        <v>blah false</v>
      </c>
      <c r="F17" s="27" t="str">
        <f>IFERROR(IF(Tbl_B3_Placeholders_ANS[[#This Row],[Is State "NY" ("blah true" or "blah false")]]="","",IF(AND(_xlfn.ISFORMULA(Tbl_B3_Placeholders_ANS[[#This Row],[Is State "NY" ("blah true" or "blah false")]]),EXACT(Tbl_B3_Placeholders_ANS[[#This Row],[Is State "NY" ("blah true" or "blah false")]],Tbl_B3_Placeholders_ANS[[#This Row],[Is State "NY" ("blah true" or "blah false") ANS]])),Rng_Lkp_AnswerStatus_Good,Rng_Lkp_AnswerStatus_Bad)),Rng_Lkp_AnswerStatus_Bad)</f>
        <v>Correct</v>
      </c>
      <c r="G17" s="41" t="s">
        <v>133</v>
      </c>
      <c r="H17" s="89">
        <f>IF(Tbl_B3_Placeholders_ANS[[#This Row],[State]]="NY",Tbl_B3_Placeholders_ANS[[#This Row],[Account ID]] &amp; ": " &amp; Tbl_B3_Placeholders_ANS[[#This Row],[Full Name]],Tbl_B3_Placeholders_ANS[[#This Row],[Account ID]])</f>
        <v>2316</v>
      </c>
      <c r="I17" s="27" t="str">
        <f>IFERROR(IF(Tbl_B3_Placeholders_ANS[[#This Row],[Is State "NY" (If true, show Account ID: Full Name. If false, show Account ID only)]]="","",IF(AND(_xlfn.ISFORMULA(Tbl_B3_Placeholders_ANS[[#This Row],[Is State "NY" (If true, show Account ID: Full Name. If false, show Account ID only)]]),EXACT(Tbl_B3_Placeholders_ANS[[#This Row],[Is State "NY" (If true, show Account ID: Full Name. If false, show Account ID only)]],Tbl_B3_Placeholders_ANS[[#This Row],[Is State "NY" (If true, show Account ID: Full Name. If false, show Account ID only) ANS]])),Rng_Lkp_AnswerStatus_Good,Rng_Lkp_AnswerStatus_Bad)),Rng_Lkp_AnswerStatus_Bad)</f>
        <v>Correct</v>
      </c>
      <c r="J17" s="41">
        <v>2316</v>
      </c>
    </row>
    <row r="18" spans="2:10" x14ac:dyDescent="0.25">
      <c r="B18" s="14">
        <v>3334</v>
      </c>
      <c r="C18" s="15" t="s">
        <v>17</v>
      </c>
      <c r="D18" s="15" t="s">
        <v>51</v>
      </c>
      <c r="E18" s="89" t="str">
        <f>IF(Tbl_B3_Placeholders_ANS[[#This Row],[State]]="NY","blah true","blah false")</f>
        <v>blah false</v>
      </c>
      <c r="F18" s="27" t="str">
        <f>IFERROR(IF(Tbl_B3_Placeholders_ANS[[#This Row],[Is State "NY" ("blah true" or "blah false")]]="","",IF(AND(_xlfn.ISFORMULA(Tbl_B3_Placeholders_ANS[[#This Row],[Is State "NY" ("blah true" or "blah false")]]),EXACT(Tbl_B3_Placeholders_ANS[[#This Row],[Is State "NY" ("blah true" or "blah false")]],Tbl_B3_Placeholders_ANS[[#This Row],[Is State "NY" ("blah true" or "blah false") ANS]])),Rng_Lkp_AnswerStatus_Good,Rng_Lkp_AnswerStatus_Bad)),Rng_Lkp_AnswerStatus_Bad)</f>
        <v>Correct</v>
      </c>
      <c r="G18" s="41" t="s">
        <v>133</v>
      </c>
      <c r="H18" s="89">
        <f>IF(Tbl_B3_Placeholders_ANS[[#This Row],[State]]="NY",Tbl_B3_Placeholders_ANS[[#This Row],[Account ID]] &amp; ": " &amp; Tbl_B3_Placeholders_ANS[[#This Row],[Full Name]],Tbl_B3_Placeholders_ANS[[#This Row],[Account ID]])</f>
        <v>3334</v>
      </c>
      <c r="I18" s="27" t="str">
        <f>IFERROR(IF(Tbl_B3_Placeholders_ANS[[#This Row],[Is State "NY" (If true, show Account ID: Full Name. If false, show Account ID only)]]="","",IF(AND(_xlfn.ISFORMULA(Tbl_B3_Placeholders_ANS[[#This Row],[Is State "NY" (If true, show Account ID: Full Name. If false, show Account ID only)]]),EXACT(Tbl_B3_Placeholders_ANS[[#This Row],[Is State "NY" (If true, show Account ID: Full Name. If false, show Account ID only)]],Tbl_B3_Placeholders_ANS[[#This Row],[Is State "NY" (If true, show Account ID: Full Name. If false, show Account ID only) ANS]])),Rng_Lkp_AnswerStatus_Good,Rng_Lkp_AnswerStatus_Bad)),Rng_Lkp_AnswerStatus_Bad)</f>
        <v>Correct</v>
      </c>
      <c r="J18" s="41">
        <v>3334</v>
      </c>
    </row>
    <row r="19" spans="2:10" x14ac:dyDescent="0.25">
      <c r="B19" s="14">
        <v>1084</v>
      </c>
      <c r="C19" s="15" t="s">
        <v>145</v>
      </c>
      <c r="D19" s="15" t="s">
        <v>56</v>
      </c>
      <c r="E19" s="89" t="str">
        <f>IF(Tbl_B3_Placeholders_ANS[[#This Row],[State]]="NY","blah true","blah false")</f>
        <v>blah false</v>
      </c>
      <c r="F19" s="27" t="str">
        <f>IFERROR(IF(Tbl_B3_Placeholders_ANS[[#This Row],[Is State "NY" ("blah true" or "blah false")]]="","",IF(AND(_xlfn.ISFORMULA(Tbl_B3_Placeholders_ANS[[#This Row],[Is State "NY" ("blah true" or "blah false")]]),EXACT(Tbl_B3_Placeholders_ANS[[#This Row],[Is State "NY" ("blah true" or "blah false")]],Tbl_B3_Placeholders_ANS[[#This Row],[Is State "NY" ("blah true" or "blah false") ANS]])),Rng_Lkp_AnswerStatus_Good,Rng_Lkp_AnswerStatus_Bad)),Rng_Lkp_AnswerStatus_Bad)</f>
        <v>Correct</v>
      </c>
      <c r="G19" s="41" t="s">
        <v>133</v>
      </c>
      <c r="H19" s="89">
        <f>IF(Tbl_B3_Placeholders_ANS[[#This Row],[State]]="NY",Tbl_B3_Placeholders_ANS[[#This Row],[Account ID]] &amp; ": " &amp; Tbl_B3_Placeholders_ANS[[#This Row],[Full Name]],Tbl_B3_Placeholders_ANS[[#This Row],[Account ID]])</f>
        <v>1084</v>
      </c>
      <c r="I19" s="27" t="str">
        <f>IFERROR(IF(Tbl_B3_Placeholders_ANS[[#This Row],[Is State "NY" (If true, show Account ID: Full Name. If false, show Account ID only)]]="","",IF(AND(_xlfn.ISFORMULA(Tbl_B3_Placeholders_ANS[[#This Row],[Is State "NY" (If true, show Account ID: Full Name. If false, show Account ID only)]]),EXACT(Tbl_B3_Placeholders_ANS[[#This Row],[Is State "NY" (If true, show Account ID: Full Name. If false, show Account ID only)]],Tbl_B3_Placeholders_ANS[[#This Row],[Is State "NY" (If true, show Account ID: Full Name. If false, show Account ID only) ANS]])),Rng_Lkp_AnswerStatus_Good,Rng_Lkp_AnswerStatus_Bad)),Rng_Lkp_AnswerStatus_Bad)</f>
        <v>Correct</v>
      </c>
      <c r="J19" s="41">
        <v>1084</v>
      </c>
    </row>
    <row r="20" spans="2:10" x14ac:dyDescent="0.25">
      <c r="B20" s="14">
        <v>2458</v>
      </c>
      <c r="C20" s="15" t="s">
        <v>18</v>
      </c>
      <c r="D20" s="15" t="s">
        <v>51</v>
      </c>
      <c r="E20" s="89" t="str">
        <f>IF(Tbl_B3_Placeholders_ANS[[#This Row],[State]]="NY","blah true","blah false")</f>
        <v>blah false</v>
      </c>
      <c r="F20" s="27" t="str">
        <f>IFERROR(IF(Tbl_B3_Placeholders_ANS[[#This Row],[Is State "NY" ("blah true" or "blah false")]]="","",IF(AND(_xlfn.ISFORMULA(Tbl_B3_Placeholders_ANS[[#This Row],[Is State "NY" ("blah true" or "blah false")]]),EXACT(Tbl_B3_Placeholders_ANS[[#This Row],[Is State "NY" ("blah true" or "blah false")]],Tbl_B3_Placeholders_ANS[[#This Row],[Is State "NY" ("blah true" or "blah false") ANS]])),Rng_Lkp_AnswerStatus_Good,Rng_Lkp_AnswerStatus_Bad)),Rng_Lkp_AnswerStatus_Bad)</f>
        <v>Correct</v>
      </c>
      <c r="G20" s="41" t="s">
        <v>133</v>
      </c>
      <c r="H20" s="89">
        <f>IF(Tbl_B3_Placeholders_ANS[[#This Row],[State]]="NY",Tbl_B3_Placeholders_ANS[[#This Row],[Account ID]] &amp; ": " &amp; Tbl_B3_Placeholders_ANS[[#This Row],[Full Name]],Tbl_B3_Placeholders_ANS[[#This Row],[Account ID]])</f>
        <v>2458</v>
      </c>
      <c r="I20" s="27" t="str">
        <f>IFERROR(IF(Tbl_B3_Placeholders_ANS[[#This Row],[Is State "NY" (If true, show Account ID: Full Name. If false, show Account ID only)]]="","",IF(AND(_xlfn.ISFORMULA(Tbl_B3_Placeholders_ANS[[#This Row],[Is State "NY" (If true, show Account ID: Full Name. If false, show Account ID only)]]),EXACT(Tbl_B3_Placeholders_ANS[[#This Row],[Is State "NY" (If true, show Account ID: Full Name. If false, show Account ID only)]],Tbl_B3_Placeholders_ANS[[#This Row],[Is State "NY" (If true, show Account ID: Full Name. If false, show Account ID only) ANS]])),Rng_Lkp_AnswerStatus_Good,Rng_Lkp_AnswerStatus_Bad)),Rng_Lkp_AnswerStatus_Bad)</f>
        <v>Correct</v>
      </c>
      <c r="J20" s="41">
        <v>2458</v>
      </c>
    </row>
    <row r="21" spans="2:10" x14ac:dyDescent="0.25">
      <c r="B21" s="14">
        <v>1495</v>
      </c>
      <c r="C21" s="15" t="s">
        <v>146</v>
      </c>
      <c r="D21" s="15" t="s">
        <v>49</v>
      </c>
      <c r="E21" s="89" t="str">
        <f>IF(Tbl_B3_Placeholders_ANS[[#This Row],[State]]="NY","blah true","blah false")</f>
        <v>blah true</v>
      </c>
      <c r="F21" s="27" t="str">
        <f>IFERROR(IF(Tbl_B3_Placeholders_ANS[[#This Row],[Is State "NY" ("blah true" or "blah false")]]="","",IF(AND(_xlfn.ISFORMULA(Tbl_B3_Placeholders_ANS[[#This Row],[Is State "NY" ("blah true" or "blah false")]]),EXACT(Tbl_B3_Placeholders_ANS[[#This Row],[Is State "NY" ("blah true" or "blah false")]],Tbl_B3_Placeholders_ANS[[#This Row],[Is State "NY" ("blah true" or "blah false") ANS]])),Rng_Lkp_AnswerStatus_Good,Rng_Lkp_AnswerStatus_Bad)),Rng_Lkp_AnswerStatus_Bad)</f>
        <v>Correct</v>
      </c>
      <c r="G21" s="41" t="s">
        <v>132</v>
      </c>
      <c r="H21" s="89" t="str">
        <f>IF(Tbl_B3_Placeholders_ANS[[#This Row],[State]]="NY",Tbl_B3_Placeholders_ANS[[#This Row],[Account ID]] &amp; ": " &amp; Tbl_B3_Placeholders_ANS[[#This Row],[Full Name]],Tbl_B3_Placeholders_ANS[[#This Row],[Account ID]])</f>
        <v>1495: Cyndy Gold</v>
      </c>
      <c r="I21" s="27" t="str">
        <f>IFERROR(IF(Tbl_B3_Placeholders_ANS[[#This Row],[Is State "NY" (If true, show Account ID: Full Name. If false, show Account ID only)]]="","",IF(AND(_xlfn.ISFORMULA(Tbl_B3_Placeholders_ANS[[#This Row],[Is State "NY" (If true, show Account ID: Full Name. If false, show Account ID only)]]),EXACT(Tbl_B3_Placeholders_ANS[[#This Row],[Is State "NY" (If true, show Account ID: Full Name. If false, show Account ID only)]],Tbl_B3_Placeholders_ANS[[#This Row],[Is State "NY" (If true, show Account ID: Full Name. If false, show Account ID only) ANS]])),Rng_Lkp_AnswerStatus_Good,Rng_Lkp_AnswerStatus_Bad)),Rng_Lkp_AnswerStatus_Bad)</f>
        <v>Correct</v>
      </c>
      <c r="J21" s="41" t="s">
        <v>150</v>
      </c>
    </row>
    <row r="22" spans="2:10" x14ac:dyDescent="0.25">
      <c r="B22" s="14">
        <v>1131</v>
      </c>
      <c r="C22" s="15" t="s">
        <v>19</v>
      </c>
      <c r="D22" s="15" t="s">
        <v>51</v>
      </c>
      <c r="E22" s="89" t="str">
        <f>IF(Tbl_B3_Placeholders_ANS[[#This Row],[State]]="NY","blah true","blah false")</f>
        <v>blah false</v>
      </c>
      <c r="F22" s="27" t="str">
        <f>IFERROR(IF(Tbl_B3_Placeholders_ANS[[#This Row],[Is State "NY" ("blah true" or "blah false")]]="","",IF(AND(_xlfn.ISFORMULA(Tbl_B3_Placeholders_ANS[[#This Row],[Is State "NY" ("blah true" or "blah false")]]),EXACT(Tbl_B3_Placeholders_ANS[[#This Row],[Is State "NY" ("blah true" or "blah false")]],Tbl_B3_Placeholders_ANS[[#This Row],[Is State "NY" ("blah true" or "blah false") ANS]])),Rng_Lkp_AnswerStatus_Good,Rng_Lkp_AnswerStatus_Bad)),Rng_Lkp_AnswerStatus_Bad)</f>
        <v>Correct</v>
      </c>
      <c r="G22" s="41" t="s">
        <v>133</v>
      </c>
      <c r="H22" s="89">
        <f>IF(Tbl_B3_Placeholders_ANS[[#This Row],[State]]="NY",Tbl_B3_Placeholders_ANS[[#This Row],[Account ID]] &amp; ": " &amp; Tbl_B3_Placeholders_ANS[[#This Row],[Full Name]],Tbl_B3_Placeholders_ANS[[#This Row],[Account ID]])</f>
        <v>1131</v>
      </c>
      <c r="I22" s="27" t="str">
        <f>IFERROR(IF(Tbl_B3_Placeholders_ANS[[#This Row],[Is State "NY" (If true, show Account ID: Full Name. If false, show Account ID only)]]="","",IF(AND(_xlfn.ISFORMULA(Tbl_B3_Placeholders_ANS[[#This Row],[Is State "NY" (If true, show Account ID: Full Name. If false, show Account ID only)]]),EXACT(Tbl_B3_Placeholders_ANS[[#This Row],[Is State "NY" (If true, show Account ID: Full Name. If false, show Account ID only)]],Tbl_B3_Placeholders_ANS[[#This Row],[Is State "NY" (If true, show Account ID: Full Name. If false, show Account ID only) ANS]])),Rng_Lkp_AnswerStatus_Good,Rng_Lkp_AnswerStatus_Bad)),Rng_Lkp_AnswerStatus_Bad)</f>
        <v>Correct</v>
      </c>
      <c r="J22" s="41">
        <v>1131</v>
      </c>
    </row>
    <row r="23" spans="2:10" x14ac:dyDescent="0.25">
      <c r="B23" s="14">
        <v>2314</v>
      </c>
      <c r="C23" s="15" t="s">
        <v>147</v>
      </c>
      <c r="D23" s="15" t="s">
        <v>51</v>
      </c>
      <c r="E23" s="89" t="str">
        <f>IF(Tbl_B3_Placeholders_ANS[[#This Row],[State]]="NY","blah true","blah false")</f>
        <v>blah false</v>
      </c>
      <c r="F23" s="27" t="str">
        <f>IFERROR(IF(Tbl_B3_Placeholders_ANS[[#This Row],[Is State "NY" ("blah true" or "blah false")]]="","",IF(AND(_xlfn.ISFORMULA(Tbl_B3_Placeholders_ANS[[#This Row],[Is State "NY" ("blah true" or "blah false")]]),EXACT(Tbl_B3_Placeholders_ANS[[#This Row],[Is State "NY" ("blah true" or "blah false")]],Tbl_B3_Placeholders_ANS[[#This Row],[Is State "NY" ("blah true" or "blah false") ANS]])),Rng_Lkp_AnswerStatus_Good,Rng_Lkp_AnswerStatus_Bad)),Rng_Lkp_AnswerStatus_Bad)</f>
        <v>Correct</v>
      </c>
      <c r="G23" s="41" t="s">
        <v>133</v>
      </c>
      <c r="H23" s="89">
        <f>IF(Tbl_B3_Placeholders_ANS[[#This Row],[State]]="NY",Tbl_B3_Placeholders_ANS[[#This Row],[Account ID]] &amp; ": " &amp; Tbl_B3_Placeholders_ANS[[#This Row],[Full Name]],Tbl_B3_Placeholders_ANS[[#This Row],[Account ID]])</f>
        <v>2314</v>
      </c>
      <c r="I23" s="27" t="str">
        <f>IFERROR(IF(Tbl_B3_Placeholders_ANS[[#This Row],[Is State "NY" (If true, show Account ID: Full Name. If false, show Account ID only)]]="","",IF(AND(_xlfn.ISFORMULA(Tbl_B3_Placeholders_ANS[[#This Row],[Is State "NY" (If true, show Account ID: Full Name. If false, show Account ID only)]]),EXACT(Tbl_B3_Placeholders_ANS[[#This Row],[Is State "NY" (If true, show Account ID: Full Name. If false, show Account ID only)]],Tbl_B3_Placeholders_ANS[[#This Row],[Is State "NY" (If true, show Account ID: Full Name. If false, show Account ID only) ANS]])),Rng_Lkp_AnswerStatus_Good,Rng_Lkp_AnswerStatus_Bad)),Rng_Lkp_AnswerStatus_Bad)</f>
        <v>Correct</v>
      </c>
      <c r="J23" s="41">
        <v>2314</v>
      </c>
    </row>
    <row r="24" spans="2:10" x14ac:dyDescent="0.25">
      <c r="B24" s="14">
        <v>2304</v>
      </c>
      <c r="C24" s="15" t="s">
        <v>20</v>
      </c>
      <c r="D24" s="15" t="s">
        <v>49</v>
      </c>
      <c r="E24" s="89" t="str">
        <f>IF(Tbl_B3_Placeholders_ANS[[#This Row],[State]]="NY","blah true","blah false")</f>
        <v>blah true</v>
      </c>
      <c r="F24" s="27" t="str">
        <f>IFERROR(IF(Tbl_B3_Placeholders_ANS[[#This Row],[Is State "NY" ("blah true" or "blah false")]]="","",IF(AND(_xlfn.ISFORMULA(Tbl_B3_Placeholders_ANS[[#This Row],[Is State "NY" ("blah true" or "blah false")]]),EXACT(Tbl_B3_Placeholders_ANS[[#This Row],[Is State "NY" ("blah true" or "blah false")]],Tbl_B3_Placeholders_ANS[[#This Row],[Is State "NY" ("blah true" or "blah false") ANS]])),Rng_Lkp_AnswerStatus_Good,Rng_Lkp_AnswerStatus_Bad)),Rng_Lkp_AnswerStatus_Bad)</f>
        <v>Correct</v>
      </c>
      <c r="G24" s="41" t="s">
        <v>132</v>
      </c>
      <c r="H24" s="89" t="str">
        <f>IF(Tbl_B3_Placeholders_ANS[[#This Row],[State]]="NY",Tbl_B3_Placeholders_ANS[[#This Row],[Account ID]] &amp; ": " &amp; Tbl_B3_Placeholders_ANS[[#This Row],[Full Name]],Tbl_B3_Placeholders_ANS[[#This Row],[Account ID]])</f>
        <v>2304: Twana Felger</v>
      </c>
      <c r="I24" s="27" t="str">
        <f>IFERROR(IF(Tbl_B3_Placeholders_ANS[[#This Row],[Is State "NY" (If true, show Account ID: Full Name. If false, show Account ID only)]]="","",IF(AND(_xlfn.ISFORMULA(Tbl_B3_Placeholders_ANS[[#This Row],[Is State "NY" (If true, show Account ID: Full Name. If false, show Account ID only)]]),EXACT(Tbl_B3_Placeholders_ANS[[#This Row],[Is State "NY" (If true, show Account ID: Full Name. If false, show Account ID only)]],Tbl_B3_Placeholders_ANS[[#This Row],[Is State "NY" (If true, show Account ID: Full Name. If false, show Account ID only) ANS]])),Rng_Lkp_AnswerStatus_Good,Rng_Lkp_AnswerStatus_Bad)),Rng_Lkp_AnswerStatus_Bad)</f>
        <v>Correct</v>
      </c>
      <c r="J24" s="41" t="s">
        <v>118</v>
      </c>
    </row>
    <row r="25" spans="2:10" x14ac:dyDescent="0.25">
      <c r="B25" s="14">
        <v>3694</v>
      </c>
      <c r="C25" s="15" t="s">
        <v>21</v>
      </c>
      <c r="D25" s="15" t="s">
        <v>57</v>
      </c>
      <c r="E25" s="89" t="str">
        <f>IF(Tbl_B3_Placeholders_ANS[[#This Row],[State]]="NY","blah true","blah false")</f>
        <v>blah false</v>
      </c>
      <c r="F25" s="27" t="str">
        <f>IFERROR(IF(Tbl_B3_Placeholders_ANS[[#This Row],[Is State "NY" ("blah true" or "blah false")]]="","",IF(AND(_xlfn.ISFORMULA(Tbl_B3_Placeholders_ANS[[#This Row],[Is State "NY" ("blah true" or "blah false")]]),EXACT(Tbl_B3_Placeholders_ANS[[#This Row],[Is State "NY" ("blah true" or "blah false")]],Tbl_B3_Placeholders_ANS[[#This Row],[Is State "NY" ("blah true" or "blah false") ANS]])),Rng_Lkp_AnswerStatus_Good,Rng_Lkp_AnswerStatus_Bad)),Rng_Lkp_AnswerStatus_Bad)</f>
        <v>Correct</v>
      </c>
      <c r="G25" s="41" t="s">
        <v>133</v>
      </c>
      <c r="H25" s="89">
        <f>IF(Tbl_B3_Placeholders_ANS[[#This Row],[State]]="NY",Tbl_B3_Placeholders_ANS[[#This Row],[Account ID]] &amp; ": " &amp; Tbl_B3_Placeholders_ANS[[#This Row],[Full Name]],Tbl_B3_Placeholders_ANS[[#This Row],[Account ID]])</f>
        <v>3694</v>
      </c>
      <c r="I25" s="27" t="str">
        <f>IFERROR(IF(Tbl_B3_Placeholders_ANS[[#This Row],[Is State "NY" (If true, show Account ID: Full Name. If false, show Account ID only)]]="","",IF(AND(_xlfn.ISFORMULA(Tbl_B3_Placeholders_ANS[[#This Row],[Is State "NY" (If true, show Account ID: Full Name. If false, show Account ID only)]]),EXACT(Tbl_B3_Placeholders_ANS[[#This Row],[Is State "NY" (If true, show Account ID: Full Name. If false, show Account ID only)]],Tbl_B3_Placeholders_ANS[[#This Row],[Is State "NY" (If true, show Account ID: Full Name. If false, show Account ID only) ANS]])),Rng_Lkp_AnswerStatus_Good,Rng_Lkp_AnswerStatus_Bad)),Rng_Lkp_AnswerStatus_Bad)</f>
        <v>Correct</v>
      </c>
      <c r="J25" s="41">
        <v>3694</v>
      </c>
    </row>
    <row r="26" spans="2:10" x14ac:dyDescent="0.25">
      <c r="B26" s="14">
        <v>4522</v>
      </c>
      <c r="C26" s="15" t="s">
        <v>22</v>
      </c>
      <c r="D26" s="15" t="s">
        <v>56</v>
      </c>
      <c r="E26" s="89" t="str">
        <f>IF(Tbl_B3_Placeholders_ANS[[#This Row],[State]]="NY","blah true","blah false")</f>
        <v>blah false</v>
      </c>
      <c r="F26" s="27" t="str">
        <f>IFERROR(IF(Tbl_B3_Placeholders_ANS[[#This Row],[Is State "NY" ("blah true" or "blah false")]]="","",IF(AND(_xlfn.ISFORMULA(Tbl_B3_Placeholders_ANS[[#This Row],[Is State "NY" ("blah true" or "blah false")]]),EXACT(Tbl_B3_Placeholders_ANS[[#This Row],[Is State "NY" ("blah true" or "blah false")]],Tbl_B3_Placeholders_ANS[[#This Row],[Is State "NY" ("blah true" or "blah false") ANS]])),Rng_Lkp_AnswerStatus_Good,Rng_Lkp_AnswerStatus_Bad)),Rng_Lkp_AnswerStatus_Bad)</f>
        <v>Correct</v>
      </c>
      <c r="G26" s="41" t="s">
        <v>133</v>
      </c>
      <c r="H26" s="89">
        <f>IF(Tbl_B3_Placeholders_ANS[[#This Row],[State]]="NY",Tbl_B3_Placeholders_ANS[[#This Row],[Account ID]] &amp; ": " &amp; Tbl_B3_Placeholders_ANS[[#This Row],[Full Name]],Tbl_B3_Placeholders_ANS[[#This Row],[Account ID]])</f>
        <v>4522</v>
      </c>
      <c r="I26" s="27" t="str">
        <f>IFERROR(IF(Tbl_B3_Placeholders_ANS[[#This Row],[Is State "NY" (If true, show Account ID: Full Name. If false, show Account ID only)]]="","",IF(AND(_xlfn.ISFORMULA(Tbl_B3_Placeholders_ANS[[#This Row],[Is State "NY" (If true, show Account ID: Full Name. If false, show Account ID only)]]),EXACT(Tbl_B3_Placeholders_ANS[[#This Row],[Is State "NY" (If true, show Account ID: Full Name. If false, show Account ID only)]],Tbl_B3_Placeholders_ANS[[#This Row],[Is State "NY" (If true, show Account ID: Full Name. If false, show Account ID only) ANS]])),Rng_Lkp_AnswerStatus_Good,Rng_Lkp_AnswerStatus_Bad)),Rng_Lkp_AnswerStatus_Bad)</f>
        <v>Correct</v>
      </c>
      <c r="J26" s="41">
        <v>4522</v>
      </c>
    </row>
    <row r="27" spans="2:10" x14ac:dyDescent="0.25">
      <c r="B27" s="14">
        <v>1198</v>
      </c>
      <c r="C27" s="15" t="s">
        <v>148</v>
      </c>
      <c r="D27" s="15" t="s">
        <v>49</v>
      </c>
      <c r="E27" s="89" t="str">
        <f>IF(Tbl_B3_Placeholders_ANS[[#This Row],[State]]="NY","blah true","blah false")</f>
        <v>blah true</v>
      </c>
      <c r="F27" s="27" t="str">
        <f>IFERROR(IF(Tbl_B3_Placeholders_ANS[[#This Row],[Is State "NY" ("blah true" or "blah false")]]="","",IF(AND(_xlfn.ISFORMULA(Tbl_B3_Placeholders_ANS[[#This Row],[Is State "NY" ("blah true" or "blah false")]]),EXACT(Tbl_B3_Placeholders_ANS[[#This Row],[Is State "NY" ("blah true" or "blah false")]],Tbl_B3_Placeholders_ANS[[#This Row],[Is State "NY" ("blah true" or "blah false") ANS]])),Rng_Lkp_AnswerStatus_Good,Rng_Lkp_AnswerStatus_Bad)),Rng_Lkp_AnswerStatus_Bad)</f>
        <v>Correct</v>
      </c>
      <c r="G27" s="41" t="s">
        <v>132</v>
      </c>
      <c r="H27" s="89" t="str">
        <f>IF(Tbl_B3_Placeholders_ANS[[#This Row],[State]]="NY",Tbl_B3_Placeholders_ANS[[#This Row],[Account ID]] &amp; ": " &amp; Tbl_B3_Placeholders_ANS[[#This Row],[Full Name]],Tbl_B3_Placeholders_ANS[[#This Row],[Account ID]])</f>
        <v>1198: Tiff Steffen</v>
      </c>
      <c r="I27" s="27" t="str">
        <f>IFERROR(IF(Tbl_B3_Placeholders_ANS[[#This Row],[Is State "NY" (If true, show Account ID: Full Name. If false, show Account ID only)]]="","",IF(AND(_xlfn.ISFORMULA(Tbl_B3_Placeholders_ANS[[#This Row],[Is State "NY" (If true, show Account ID: Full Name. If false, show Account ID only)]]),EXACT(Tbl_B3_Placeholders_ANS[[#This Row],[Is State "NY" (If true, show Account ID: Full Name. If false, show Account ID only)]],Tbl_B3_Placeholders_ANS[[#This Row],[Is State "NY" (If true, show Account ID: Full Name. If false, show Account ID only) ANS]])),Rng_Lkp_AnswerStatus_Good,Rng_Lkp_AnswerStatus_Bad)),Rng_Lkp_AnswerStatus_Bad)</f>
        <v>Correct</v>
      </c>
      <c r="J27" s="41" t="s">
        <v>151</v>
      </c>
    </row>
  </sheetData>
  <conditionalFormatting sqref="B8:J27">
    <cfRule type="cellIs" dxfId="167" priority="2" operator="equal">
      <formula>Rng_Lkp_AnswerStatus_Bad</formula>
    </cfRule>
    <cfRule type="cellIs" dxfId="166" priority="3" operator="equal">
      <formula>Rng_Lkp_AnswerStatus_Good</formula>
    </cfRule>
  </conditionalFormatting>
  <conditionalFormatting sqref="B5:B6 F6 I6">
    <cfRule type="colorScale" priority="1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pageMargins left="0.7" right="0.7" top="0.75" bottom="0.75" header="0.3" footer="0.3"/>
  <pageSetup paperSize="121" orientation="portrait" horizontalDpi="300" verticalDpi="3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4</vt:i4>
      </vt:variant>
    </vt:vector>
  </HeadingPairs>
  <TitlesOfParts>
    <vt:vector size="18" baseType="lpstr">
      <vt:lpstr>Overview</vt:lpstr>
      <vt:lpstr>A1) Formula Elements Intro</vt:lpstr>
      <vt:lpstr>A1) Formula Elements Intro ANS</vt:lpstr>
      <vt:lpstr>A1) Formula Elements</vt:lpstr>
      <vt:lpstr>A1) Formula Elements ANS</vt:lpstr>
      <vt:lpstr>A2) Syntax</vt:lpstr>
      <vt:lpstr>A2) Syntax ANS</vt:lpstr>
      <vt:lpstr>B3) Placeholders</vt:lpstr>
      <vt:lpstr>B3) Placeholders ANS</vt:lpstr>
      <vt:lpstr>B4) Helper Columns</vt:lpstr>
      <vt:lpstr>B4) Helper Columns ANS</vt:lpstr>
      <vt:lpstr>B5) Help</vt:lpstr>
      <vt:lpstr>B5) Help ANS</vt:lpstr>
      <vt:lpstr>Lookup Values</vt:lpstr>
      <vt:lpstr>Rng_Lkp_AnswerStatus_Bad</vt:lpstr>
      <vt:lpstr>Rng_Lkp_AnswerStatus_Good</vt:lpstr>
      <vt:lpstr>Rng_Lkp_FormulaElement</vt:lpstr>
      <vt:lpstr>Rng_Lkp_YN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 Aviv</dc:creator>
  <cp:lastModifiedBy>Shir Aviv</cp:lastModifiedBy>
  <dcterms:created xsi:type="dcterms:W3CDTF">2014-01-07T16:50:54Z</dcterms:created>
  <dcterms:modified xsi:type="dcterms:W3CDTF">2021-05-19T15:20:34Z</dcterms:modified>
</cp:coreProperties>
</file>